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FORMACION\Desktop\INFORMACION TRANSPARENCIA\3ER TRIMESTRE\PRESUPUESTO AUTORIZADO\"/>
    </mc:Choice>
  </mc:AlternateContent>
  <xr:revisionPtr revIDLastSave="0" documentId="13_ncr:1_{B00278D1-8AE6-47A0-9EC5-10B1D45DF43E}" xr6:coauthVersionLast="47" xr6:coauthVersionMax="47" xr10:uidLastSave="{00000000-0000-0000-0000-000000000000}"/>
  <bookViews>
    <workbookView xWindow="-120" yWindow="-120" windowWidth="29040" windowHeight="15720" xr2:uid="{4AA3C758-17E1-4FA3-B01D-00BD81EF17A3}"/>
  </bookViews>
  <sheets>
    <sheet name="PROY PART CAL GENERAL" sheetId="1" r:id="rId1"/>
  </sheets>
  <externalReferences>
    <externalReference r:id="rId2"/>
  </externalReferences>
  <definedNames>
    <definedName name="_xlnm.Print_Area" localSheetId="0">'PROY PART CAL GENERAL'!$A$12:$Y$115</definedName>
    <definedName name="_xlnm.Print_Titles" localSheetId="0">'PROY PART CAL GENERAL'!$1:$11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1" i="1" l="1"/>
  <c r="P101" i="1"/>
  <c r="N101" i="1"/>
  <c r="M101" i="1"/>
  <c r="L101" i="1"/>
  <c r="K101" i="1"/>
  <c r="J101" i="1"/>
  <c r="I101" i="1"/>
  <c r="H101" i="1"/>
  <c r="G101" i="1"/>
  <c r="F101" i="1"/>
  <c r="Z101" i="1" s="1"/>
  <c r="AA101" i="1" s="1"/>
  <c r="AA100" i="1"/>
  <c r="Z100" i="1"/>
  <c r="E100" i="1"/>
  <c r="AA99" i="1"/>
  <c r="Z99" i="1"/>
  <c r="E99" i="1"/>
  <c r="AA98" i="1"/>
  <c r="Z98" i="1"/>
  <c r="R98" i="1"/>
  <c r="S98" i="1" s="1"/>
  <c r="E98" i="1"/>
  <c r="Z97" i="1"/>
  <c r="AA97" i="1" s="1"/>
  <c r="E97" i="1"/>
  <c r="Z96" i="1"/>
  <c r="AA96" i="1" s="1"/>
  <c r="O96" i="1"/>
  <c r="O101" i="1" s="1"/>
  <c r="E96" i="1"/>
  <c r="E101" i="1" s="1"/>
  <c r="Z95" i="1"/>
  <c r="AA95" i="1" s="1"/>
  <c r="AA94" i="1"/>
  <c r="Z94" i="1"/>
  <c r="Q93" i="1"/>
  <c r="P93" i="1"/>
  <c r="O93" i="1"/>
  <c r="N93" i="1"/>
  <c r="M93" i="1"/>
  <c r="L93" i="1"/>
  <c r="K93" i="1"/>
  <c r="J93" i="1"/>
  <c r="I93" i="1"/>
  <c r="H93" i="1"/>
  <c r="G93" i="1"/>
  <c r="F93" i="1"/>
  <c r="Z93" i="1" s="1"/>
  <c r="AA92" i="1"/>
  <c r="Z92" i="1"/>
  <c r="E92" i="1"/>
  <c r="E93" i="1" s="1"/>
  <c r="AA91" i="1"/>
  <c r="Z91" i="1"/>
  <c r="Z90" i="1"/>
  <c r="AA90" i="1" s="1"/>
  <c r="Q89" i="1"/>
  <c r="N89" i="1"/>
  <c r="K89" i="1"/>
  <c r="H89" i="1"/>
  <c r="G89" i="1"/>
  <c r="O88" i="1"/>
  <c r="M88" i="1"/>
  <c r="Z88" i="1" s="1"/>
  <c r="AA88" i="1" s="1"/>
  <c r="E88" i="1"/>
  <c r="D88" i="1"/>
  <c r="Z87" i="1"/>
  <c r="AA87" i="1" s="1"/>
  <c r="R87" i="1"/>
  <c r="S87" i="1" s="1"/>
  <c r="E87" i="1"/>
  <c r="D87" i="1"/>
  <c r="R86" i="1"/>
  <c r="S86" i="1" s="1"/>
  <c r="P86" i="1"/>
  <c r="Z86" i="1" s="1"/>
  <c r="AA86" i="1" s="1"/>
  <c r="E86" i="1"/>
  <c r="Z85" i="1"/>
  <c r="AA85" i="1" s="1"/>
  <c r="R85" i="1"/>
  <c r="S85" i="1" s="1"/>
  <c r="O85" i="1"/>
  <c r="E85" i="1"/>
  <c r="AA84" i="1"/>
  <c r="Z84" i="1"/>
  <c r="R84" i="1"/>
  <c r="S84" i="1" s="1"/>
  <c r="E84" i="1"/>
  <c r="Z83" i="1"/>
  <c r="R83" i="1"/>
  <c r="E83" i="1"/>
  <c r="AA83" i="1" s="1"/>
  <c r="Z82" i="1"/>
  <c r="AA82" i="1" s="1"/>
  <c r="S82" i="1"/>
  <c r="R82" i="1"/>
  <c r="E82" i="1"/>
  <c r="AA81" i="1"/>
  <c r="Z81" i="1"/>
  <c r="R81" i="1"/>
  <c r="E81" i="1"/>
  <c r="S81" i="1" s="1"/>
  <c r="Z80" i="1"/>
  <c r="AA80" i="1" s="1"/>
  <c r="R80" i="1"/>
  <c r="S80" i="1" s="1"/>
  <c r="E80" i="1"/>
  <c r="Z79" i="1"/>
  <c r="AA79" i="1" s="1"/>
  <c r="S79" i="1"/>
  <c r="R79" i="1"/>
  <c r="E79" i="1"/>
  <c r="Z78" i="1"/>
  <c r="AA78" i="1" s="1"/>
  <c r="R78" i="1"/>
  <c r="S78" i="1" s="1"/>
  <c r="E78" i="1"/>
  <c r="Z77" i="1"/>
  <c r="AA77" i="1" s="1"/>
  <c r="J77" i="1"/>
  <c r="R77" i="1" s="1"/>
  <c r="S77" i="1" s="1"/>
  <c r="E77" i="1"/>
  <c r="Z76" i="1"/>
  <c r="R76" i="1"/>
  <c r="E76" i="1"/>
  <c r="AA76" i="1" s="1"/>
  <c r="Z75" i="1"/>
  <c r="AA75" i="1" s="1"/>
  <c r="S75" i="1"/>
  <c r="R75" i="1"/>
  <c r="E75" i="1"/>
  <c r="Z74" i="1"/>
  <c r="R74" i="1"/>
  <c r="E74" i="1"/>
  <c r="S74" i="1" s="1"/>
  <c r="Z73" i="1"/>
  <c r="AA73" i="1" s="1"/>
  <c r="R73" i="1"/>
  <c r="S73" i="1" s="1"/>
  <c r="E73" i="1"/>
  <c r="P72" i="1"/>
  <c r="O72" i="1"/>
  <c r="M72" i="1"/>
  <c r="Z72" i="1" s="1"/>
  <c r="AA72" i="1" s="1"/>
  <c r="E72" i="1"/>
  <c r="AA71" i="1"/>
  <c r="Z71" i="1"/>
  <c r="R71" i="1"/>
  <c r="S71" i="1" s="1"/>
  <c r="E71" i="1"/>
  <c r="O70" i="1"/>
  <c r="M70" i="1"/>
  <c r="M89" i="1" s="1"/>
  <c r="L70" i="1"/>
  <c r="L89" i="1" s="1"/>
  <c r="K70" i="1"/>
  <c r="J70" i="1"/>
  <c r="I70" i="1"/>
  <c r="Z70" i="1" s="1"/>
  <c r="AA70" i="1" s="1"/>
  <c r="F70" i="1"/>
  <c r="R70" i="1" s="1"/>
  <c r="S70" i="1" s="1"/>
  <c r="U70" i="1" s="1"/>
  <c r="E70" i="1"/>
  <c r="AA69" i="1"/>
  <c r="Z69" i="1"/>
  <c r="E69" i="1"/>
  <c r="Z68" i="1"/>
  <c r="AA68" i="1" s="1"/>
  <c r="R68" i="1"/>
  <c r="S68" i="1" s="1"/>
  <c r="I68" i="1"/>
  <c r="F68" i="1"/>
  <c r="F89" i="1" s="1"/>
  <c r="E68" i="1"/>
  <c r="Z67" i="1"/>
  <c r="AA67" i="1" s="1"/>
  <c r="S67" i="1"/>
  <c r="R67" i="1"/>
  <c r="E67" i="1"/>
  <c r="Z66" i="1"/>
  <c r="AA66" i="1" s="1"/>
  <c r="R66" i="1"/>
  <c r="S66" i="1" s="1"/>
  <c r="E66" i="1"/>
  <c r="Z65" i="1"/>
  <c r="AA65" i="1" s="1"/>
  <c r="R65" i="1"/>
  <c r="S65" i="1" s="1"/>
  <c r="E65" i="1"/>
  <c r="Z64" i="1"/>
  <c r="R64" i="1"/>
  <c r="S64" i="1" s="1"/>
  <c r="I64" i="1"/>
  <c r="E64" i="1"/>
  <c r="E89" i="1" s="1"/>
  <c r="P63" i="1"/>
  <c r="P89" i="1" s="1"/>
  <c r="O63" i="1"/>
  <c r="O89" i="1" s="1"/>
  <c r="I63" i="1"/>
  <c r="I89" i="1" s="1"/>
  <c r="E63" i="1"/>
  <c r="Z62" i="1"/>
  <c r="AA62" i="1" s="1"/>
  <c r="R62" i="1"/>
  <c r="S62" i="1" s="1"/>
  <c r="E62" i="1"/>
  <c r="Z61" i="1"/>
  <c r="AA61" i="1" s="1"/>
  <c r="Z60" i="1"/>
  <c r="AA60" i="1" s="1"/>
  <c r="Q59" i="1"/>
  <c r="P59" i="1"/>
  <c r="O59" i="1"/>
  <c r="N59" i="1"/>
  <c r="M59" i="1"/>
  <c r="L59" i="1"/>
  <c r="J59" i="1"/>
  <c r="I59" i="1"/>
  <c r="G59" i="1"/>
  <c r="F59" i="1"/>
  <c r="M58" i="1"/>
  <c r="L58" i="1"/>
  <c r="R58" i="1" s="1"/>
  <c r="S58" i="1" s="1"/>
  <c r="K58" i="1"/>
  <c r="J58" i="1"/>
  <c r="Z58" i="1" s="1"/>
  <c r="AA58" i="1" s="1"/>
  <c r="E58" i="1"/>
  <c r="AC58" i="1" s="1"/>
  <c r="D58" i="1"/>
  <c r="Z57" i="1"/>
  <c r="AA57" i="1" s="1"/>
  <c r="R57" i="1"/>
  <c r="S57" i="1" s="1"/>
  <c r="J57" i="1"/>
  <c r="I57" i="1"/>
  <c r="E57" i="1"/>
  <c r="AC57" i="1" s="1"/>
  <c r="D57" i="1"/>
  <c r="I56" i="1"/>
  <c r="H56" i="1"/>
  <c r="G56" i="1"/>
  <c r="R56" i="1" s="1"/>
  <c r="S56" i="1" s="1"/>
  <c r="E56" i="1"/>
  <c r="AC56" i="1" s="1"/>
  <c r="AA55" i="1"/>
  <c r="Z55" i="1"/>
  <c r="R55" i="1"/>
  <c r="S55" i="1" s="1"/>
  <c r="E55" i="1"/>
  <c r="AC55" i="1" s="1"/>
  <c r="Z54" i="1"/>
  <c r="AA54" i="1" s="1"/>
  <c r="R54" i="1"/>
  <c r="S54" i="1" s="1"/>
  <c r="E54" i="1"/>
  <c r="AC54" i="1" s="1"/>
  <c r="AA53" i="1"/>
  <c r="Z53" i="1"/>
  <c r="R53" i="1"/>
  <c r="S53" i="1" s="1"/>
  <c r="E53" i="1"/>
  <c r="AC53" i="1" s="1"/>
  <c r="Z52" i="1"/>
  <c r="AA52" i="1" s="1"/>
  <c r="R52" i="1"/>
  <c r="S52" i="1" s="1"/>
  <c r="E52" i="1"/>
  <c r="AC52" i="1" s="1"/>
  <c r="AB51" i="1"/>
  <c r="Z51" i="1"/>
  <c r="AA51" i="1" s="1"/>
  <c r="S51" i="1"/>
  <c r="R51" i="1"/>
  <c r="E51" i="1"/>
  <c r="AC51" i="1" s="1"/>
  <c r="AD50" i="1"/>
  <c r="Z50" i="1"/>
  <c r="AA50" i="1" s="1"/>
  <c r="R50" i="1"/>
  <c r="E50" i="1"/>
  <c r="AC50" i="1" s="1"/>
  <c r="Z49" i="1"/>
  <c r="AA49" i="1" s="1"/>
  <c r="S49" i="1"/>
  <c r="R49" i="1"/>
  <c r="E49" i="1"/>
  <c r="AC49" i="1" s="1"/>
  <c r="Z48" i="1"/>
  <c r="AA48" i="1" s="1"/>
  <c r="R48" i="1"/>
  <c r="E48" i="1"/>
  <c r="AC48" i="1" s="1"/>
  <c r="Z47" i="1"/>
  <c r="AA47" i="1" s="1"/>
  <c r="E47" i="1"/>
  <c r="AC47" i="1" s="1"/>
  <c r="Z46" i="1"/>
  <c r="AA46" i="1" s="1"/>
  <c r="R46" i="1"/>
  <c r="S46" i="1" s="1"/>
  <c r="E46" i="1"/>
  <c r="AC46" i="1" s="1"/>
  <c r="AA45" i="1"/>
  <c r="Z45" i="1"/>
  <c r="R45" i="1"/>
  <c r="S45" i="1" s="1"/>
  <c r="E45" i="1"/>
  <c r="AC45" i="1" s="1"/>
  <c r="Z44" i="1"/>
  <c r="AA44" i="1" s="1"/>
  <c r="R44" i="1"/>
  <c r="S44" i="1" s="1"/>
  <c r="E44" i="1"/>
  <c r="AC44" i="1" s="1"/>
  <c r="J43" i="1"/>
  <c r="R43" i="1" s="1"/>
  <c r="S43" i="1" s="1"/>
  <c r="G43" i="1"/>
  <c r="Z43" i="1" s="1"/>
  <c r="AA43" i="1" s="1"/>
  <c r="E43" i="1"/>
  <c r="AC43" i="1" s="1"/>
  <c r="Z42" i="1"/>
  <c r="AA42" i="1" s="1"/>
  <c r="R42" i="1"/>
  <c r="E42" i="1"/>
  <c r="AC42" i="1" s="1"/>
  <c r="Z41" i="1"/>
  <c r="AA41" i="1" s="1"/>
  <c r="K41" i="1"/>
  <c r="H41" i="1"/>
  <c r="R41" i="1" s="1"/>
  <c r="S41" i="1" s="1"/>
  <c r="E41" i="1"/>
  <c r="AC41" i="1" s="1"/>
  <c r="AC40" i="1"/>
  <c r="H40" i="1"/>
  <c r="Z40" i="1" s="1"/>
  <c r="AA40" i="1" s="1"/>
  <c r="E40" i="1"/>
  <c r="Z39" i="1"/>
  <c r="AA39" i="1" s="1"/>
  <c r="R39" i="1"/>
  <c r="S39" i="1" s="1"/>
  <c r="K39" i="1"/>
  <c r="H39" i="1"/>
  <c r="E39" i="1"/>
  <c r="AB39" i="1" s="1"/>
  <c r="Z38" i="1"/>
  <c r="AA38" i="1" s="1"/>
  <c r="S38" i="1"/>
  <c r="R38" i="1"/>
  <c r="H38" i="1"/>
  <c r="H59" i="1" s="1"/>
  <c r="E38" i="1"/>
  <c r="E59" i="1" s="1"/>
  <c r="K37" i="1"/>
  <c r="Z37" i="1" s="1"/>
  <c r="E37" i="1"/>
  <c r="AC37" i="1" s="1"/>
  <c r="Z36" i="1"/>
  <c r="AA36" i="1" s="1"/>
  <c r="AA35" i="1"/>
  <c r="Z35" i="1"/>
  <c r="V34" i="1"/>
  <c r="Q34" i="1"/>
  <c r="Q104" i="1" s="1"/>
  <c r="P34" i="1"/>
  <c r="J34" i="1"/>
  <c r="G34" i="1"/>
  <c r="G104" i="1" s="1"/>
  <c r="Z33" i="1"/>
  <c r="AA33" i="1" s="1"/>
  <c r="S33" i="1"/>
  <c r="U33" i="1" s="1"/>
  <c r="E33" i="1"/>
  <c r="T32" i="1"/>
  <c r="S32" i="1"/>
  <c r="I32" i="1"/>
  <c r="G32" i="1"/>
  <c r="F32" i="1"/>
  <c r="E32" i="1" s="1"/>
  <c r="T31" i="1"/>
  <c r="S31" i="1"/>
  <c r="P31" i="1"/>
  <c r="F31" i="1"/>
  <c r="Z31" i="1" s="1"/>
  <c r="W30" i="1"/>
  <c r="S30" i="1"/>
  <c r="U30" i="1" s="1"/>
  <c r="N30" i="1"/>
  <c r="L30" i="1"/>
  <c r="Z30" i="1" s="1"/>
  <c r="AA30" i="1" s="1"/>
  <c r="I30" i="1"/>
  <c r="I34" i="1" s="1"/>
  <c r="I104" i="1" s="1"/>
  <c r="F30" i="1"/>
  <c r="E30" i="1"/>
  <c r="T29" i="1"/>
  <c r="S29" i="1"/>
  <c r="N29" i="1"/>
  <c r="L29" i="1"/>
  <c r="L34" i="1" s="1"/>
  <c r="I29" i="1"/>
  <c r="F29" i="1"/>
  <c r="E29" i="1" s="1"/>
  <c r="U29" i="1" s="1"/>
  <c r="Z28" i="1"/>
  <c r="AA28" i="1" s="1"/>
  <c r="S28" i="1"/>
  <c r="U28" i="1" s="1"/>
  <c r="N28" i="1"/>
  <c r="N34" i="1" s="1"/>
  <c r="N104" i="1" s="1"/>
  <c r="M28" i="1"/>
  <c r="K28" i="1"/>
  <c r="J28" i="1"/>
  <c r="F28" i="1"/>
  <c r="E28" i="1"/>
  <c r="U27" i="1"/>
  <c r="S27" i="1"/>
  <c r="T27" i="1" s="1"/>
  <c r="F27" i="1"/>
  <c r="Z27" i="1" s="1"/>
  <c r="AA27" i="1" s="1"/>
  <c r="E27" i="1"/>
  <c r="S26" i="1"/>
  <c r="F26" i="1"/>
  <c r="Z26" i="1" s="1"/>
  <c r="S25" i="1"/>
  <c r="T25" i="1" s="1"/>
  <c r="F25" i="1"/>
  <c r="E25" i="1" s="1"/>
  <c r="T24" i="1"/>
  <c r="S24" i="1"/>
  <c r="F24" i="1"/>
  <c r="Z24" i="1" s="1"/>
  <c r="T23" i="1"/>
  <c r="S23" i="1"/>
  <c r="R23" i="1"/>
  <c r="N23" i="1"/>
  <c r="M23" i="1"/>
  <c r="M34" i="1" s="1"/>
  <c r="K23" i="1"/>
  <c r="K34" i="1" s="1"/>
  <c r="J23" i="1"/>
  <c r="F23" i="1"/>
  <c r="F34" i="1" s="1"/>
  <c r="Z22" i="1"/>
  <c r="AA22" i="1" s="1"/>
  <c r="U22" i="1"/>
  <c r="T22" i="1"/>
  <c r="S22" i="1"/>
  <c r="E22" i="1"/>
  <c r="Z21" i="1"/>
  <c r="AA21" i="1" s="1"/>
  <c r="S21" i="1"/>
  <c r="U21" i="1" s="1"/>
  <c r="P21" i="1"/>
  <c r="E21" i="1"/>
  <c r="Z20" i="1"/>
  <c r="AA20" i="1" s="1"/>
  <c r="U20" i="1"/>
  <c r="E20" i="1"/>
  <c r="T19" i="1"/>
  <c r="S19" i="1"/>
  <c r="O19" i="1"/>
  <c r="Z19" i="1" s="1"/>
  <c r="T18" i="1"/>
  <c r="S18" i="1"/>
  <c r="P18" i="1"/>
  <c r="O18" i="1"/>
  <c r="H18" i="1"/>
  <c r="E18" i="1" s="1"/>
  <c r="U18" i="1" s="1"/>
  <c r="Z17" i="1"/>
  <c r="AA17" i="1" s="1"/>
  <c r="S17" i="1"/>
  <c r="U17" i="1" s="1"/>
  <c r="E17" i="1"/>
  <c r="Z16" i="1"/>
  <c r="S16" i="1"/>
  <c r="U16" i="1" s="1"/>
  <c r="E16" i="1"/>
  <c r="AA16" i="1" s="1"/>
  <c r="Z15" i="1"/>
  <c r="AA15" i="1" s="1"/>
  <c r="S15" i="1"/>
  <c r="U15" i="1" s="1"/>
  <c r="E15" i="1"/>
  <c r="Z14" i="1"/>
  <c r="S14" i="1"/>
  <c r="U14" i="1" s="1"/>
  <c r="E14" i="1"/>
  <c r="AA14" i="1" s="1"/>
  <c r="Z13" i="1"/>
  <c r="R13" i="1"/>
  <c r="R34" i="1" s="1"/>
  <c r="P13" i="1"/>
  <c r="E13" i="1" s="1"/>
  <c r="U32" i="1" l="1"/>
  <c r="AA13" i="1"/>
  <c r="L104" i="1"/>
  <c r="U31" i="1"/>
  <c r="P104" i="1"/>
  <c r="Z34" i="1"/>
  <c r="F104" i="1"/>
  <c r="M104" i="1"/>
  <c r="AA93" i="1"/>
  <c r="AA31" i="1"/>
  <c r="O34" i="1"/>
  <c r="O104" i="1" s="1"/>
  <c r="AC39" i="1"/>
  <c r="Z56" i="1"/>
  <c r="AA56" i="1" s="1"/>
  <c r="AA64" i="1"/>
  <c r="R72" i="1"/>
  <c r="S72" i="1" s="1"/>
  <c r="J89" i="1"/>
  <c r="J104" i="1" s="1"/>
  <c r="Z23" i="1"/>
  <c r="T15" i="1"/>
  <c r="T17" i="1"/>
  <c r="U25" i="1"/>
  <c r="T28" i="1"/>
  <c r="Z29" i="1"/>
  <c r="AA29" i="1" s="1"/>
  <c r="R96" i="1"/>
  <c r="S96" i="1" s="1"/>
  <c r="S13" i="1"/>
  <c r="Z18" i="1"/>
  <c r="AA18" i="1" s="1"/>
  <c r="AA74" i="1"/>
  <c r="E19" i="1"/>
  <c r="U19" i="1" s="1"/>
  <c r="E23" i="1"/>
  <c r="U23" i="1" s="1"/>
  <c r="E24" i="1"/>
  <c r="U24" i="1" s="1"/>
  <c r="Z25" i="1"/>
  <c r="AA25" i="1" s="1"/>
  <c r="E31" i="1"/>
  <c r="AC38" i="1"/>
  <c r="R40" i="1"/>
  <c r="S40" i="1" s="1"/>
  <c r="R63" i="1"/>
  <c r="S63" i="1" s="1"/>
  <c r="R88" i="1"/>
  <c r="S88" i="1" s="1"/>
  <c r="T21" i="1"/>
  <c r="E26" i="1"/>
  <c r="AA26" i="1" s="1"/>
  <c r="H34" i="1"/>
  <c r="H104" i="1" s="1"/>
  <c r="R37" i="1"/>
  <c r="S37" i="1" s="1"/>
  <c r="K59" i="1"/>
  <c r="Z59" i="1" s="1"/>
  <c r="AA59" i="1" s="1"/>
  <c r="Z63" i="1"/>
  <c r="AA63" i="1" s="1"/>
  <c r="Z32" i="1"/>
  <c r="AA32" i="1" s="1"/>
  <c r="S42" i="1"/>
  <c r="S48" i="1"/>
  <c r="S50" i="1"/>
  <c r="T14" i="1"/>
  <c r="T16" i="1"/>
  <c r="T26" i="1"/>
  <c r="S76" i="1"/>
  <c r="S83" i="1"/>
  <c r="T30" i="1"/>
  <c r="T33" i="1"/>
  <c r="AA19" i="1" l="1"/>
  <c r="U13" i="1"/>
  <c r="T13" i="1"/>
  <c r="T34" i="1" s="1"/>
  <c r="S34" i="1"/>
  <c r="S36" i="1" s="1"/>
  <c r="K104" i="1"/>
  <c r="E34" i="1"/>
  <c r="E104" i="1" s="1"/>
  <c r="Z89" i="1"/>
  <c r="AA89" i="1" s="1"/>
  <c r="U26" i="1"/>
  <c r="AA23" i="1"/>
  <c r="AA24" i="1"/>
  <c r="U34" i="1" l="1"/>
  <c r="AA34" i="1"/>
</calcChain>
</file>

<file path=xl/sharedStrings.xml><?xml version="1.0" encoding="utf-8"?>
<sst xmlns="http://schemas.openxmlformats.org/spreadsheetml/2006/main" count="181" uniqueCount="168">
  <si>
    <t>DEPENDENCIA O ENTIDAD:</t>
  </si>
  <si>
    <t>56/1K.   Instituto de Capacitación para el Trabajo del Estado de Tlaxcala</t>
  </si>
  <si>
    <t>PROYECTO:</t>
  </si>
  <si>
    <t>53-1H, 119-3B, 88-2G</t>
  </si>
  <si>
    <t>FTE.</t>
  </si>
  <si>
    <t>SUB-FUENTE</t>
  </si>
  <si>
    <t>PARTIDA</t>
  </si>
  <si>
    <t>DESCRIPCIÓN</t>
  </si>
  <si>
    <t>PROPUESTA 2024</t>
  </si>
  <si>
    <t>Calendario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</si>
  <si>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</si>
  <si>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</si>
  <si>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</si>
  <si>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</si>
  <si>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</si>
  <si>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</si>
  <si>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</si>
  <si>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</si>
  <si>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</si>
  <si>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</si>
  <si>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</si>
  <si>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</si>
  <si>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CAPÍTULO 1000</t>
  </si>
  <si>
    <t>1131</t>
  </si>
  <si>
    <t>Sueldos a Funcionarios</t>
  </si>
  <si>
    <t>1132</t>
  </si>
  <si>
    <t>Sueldos al Personal</t>
  </si>
  <si>
    <t>Prima Quinquenal por años de Servicio</t>
  </si>
  <si>
    <t>1321</t>
  </si>
  <si>
    <t>Prima Vacacional a Funcionarios</t>
  </si>
  <si>
    <t>1322</t>
  </si>
  <si>
    <t>Prima Vacacional al Personal</t>
  </si>
  <si>
    <t>1326</t>
  </si>
  <si>
    <t>Gratificación Fin de Año Funcionarios</t>
  </si>
  <si>
    <t>1327</t>
  </si>
  <si>
    <t>Gratificación Fin de Año al Personal</t>
  </si>
  <si>
    <t>1341</t>
  </si>
  <si>
    <t>Compensaciones y Otras Prestaciones a Funcionarios</t>
  </si>
  <si>
    <t>1342</t>
  </si>
  <si>
    <t>Compensaciones al Personal</t>
  </si>
  <si>
    <t>1349</t>
  </si>
  <si>
    <t>Complemento al Personal del Sector Educativo</t>
  </si>
  <si>
    <t>1411</t>
  </si>
  <si>
    <t>Aportaciones de Seguridad Social</t>
  </si>
  <si>
    <t>1421</t>
  </si>
  <si>
    <t>Aportaciones a Fondos de Vivienda</t>
  </si>
  <si>
    <t>1431</t>
  </si>
  <si>
    <t>Cuotas Seguro de Retiro a Funcionarios</t>
  </si>
  <si>
    <t>1432</t>
  </si>
  <si>
    <t>Cuotas Seguro de Retiro al Personal</t>
  </si>
  <si>
    <t>1441</t>
  </si>
  <si>
    <t>Cuotas Seguro de Vida a Funcionarios</t>
  </si>
  <si>
    <t>1442</t>
  </si>
  <si>
    <t>Cuotas Seguro de Vida al Personal</t>
  </si>
  <si>
    <t>1521</t>
  </si>
  <si>
    <t>Indemnización y Liquidación a Funcionarios</t>
  </si>
  <si>
    <t>1522</t>
  </si>
  <si>
    <t>Indemnización y Liquidación al Personal</t>
  </si>
  <si>
    <t>154K</t>
  </si>
  <si>
    <t>Servicio Médico a Funcionarios</t>
  </si>
  <si>
    <t>154L</t>
  </si>
  <si>
    <t>Servicio Medico al Personal</t>
  </si>
  <si>
    <t>1592</t>
  </si>
  <si>
    <t>Cuotas Despensa al Personal</t>
  </si>
  <si>
    <t>TOTAL CAPÍTULO 1000</t>
  </si>
  <si>
    <t>CAPÍTULO 2000</t>
  </si>
  <si>
    <t>2111</t>
  </si>
  <si>
    <t>Materiales, Útiles y Equipos Menores de Oficina</t>
  </si>
  <si>
    <t>2121</t>
  </si>
  <si>
    <t>Materiales y Útiles de Impresión y Reproducción</t>
  </si>
  <si>
    <t>2141</t>
  </si>
  <si>
    <t>Materiales, Útiles y Equipos Menores de Tecnologías de la Información y Comunicaciones</t>
  </si>
  <si>
    <t>2151</t>
  </si>
  <si>
    <t>Material Impreso e Información Digital</t>
  </si>
  <si>
    <t>2161</t>
  </si>
  <si>
    <t>Material de Limpieza</t>
  </si>
  <si>
    <t>2171</t>
  </si>
  <si>
    <t>Materiales y Útiles de Enseñanza</t>
  </si>
  <si>
    <t>2211</t>
  </si>
  <si>
    <t>Productos Alimenticios para Personas</t>
  </si>
  <si>
    <t>2441</t>
  </si>
  <si>
    <t>Madera y Productos de Madera</t>
  </si>
  <si>
    <t>2461</t>
  </si>
  <si>
    <t>Material Eléctrico y Electrónico</t>
  </si>
  <si>
    <t>2471</t>
  </si>
  <si>
    <t>Artículos Metálicos para la Construcción</t>
  </si>
  <si>
    <t>Materiales Complementarios</t>
  </si>
  <si>
    <t>2491</t>
  </si>
  <si>
    <t>Otros Materiales y Artículos de Construcción y Reparación</t>
  </si>
  <si>
    <t>2531</t>
  </si>
  <si>
    <t>Medicinas y Productos Farmacéuticos</t>
  </si>
  <si>
    <t>2541</t>
  </si>
  <si>
    <t>Materiales, Accesorios y Suministros Médicos</t>
  </si>
  <si>
    <t>2611</t>
  </si>
  <si>
    <t>Combustibles, Lubricantes y Aditivos</t>
  </si>
  <si>
    <t>2721</t>
  </si>
  <si>
    <t>Prendas de Seguridad y Protección Personal</t>
  </si>
  <si>
    <t>2921</t>
  </si>
  <si>
    <t>Refacciones y Accesorios Menores de Edificios</t>
  </si>
  <si>
    <t>2961</t>
  </si>
  <si>
    <t>Refacciones y Accesorios Menores de Equipo de Transporte</t>
  </si>
  <si>
    <t>714/JU</t>
  </si>
  <si>
    <t xml:space="preserve">Materiales, Útiles y Equipos Menores de Tecnologías de la Información y Comunicaciones </t>
  </si>
  <si>
    <t>TOTAL CAPÍTULO 2000</t>
  </si>
  <si>
    <t>CAPÍTULO 3000</t>
  </si>
  <si>
    <t>3111</t>
  </si>
  <si>
    <t>Energía Eléctrica</t>
  </si>
  <si>
    <t>3121</t>
  </si>
  <si>
    <t>Gas</t>
  </si>
  <si>
    <t>3131</t>
  </si>
  <si>
    <t>Agua</t>
  </si>
  <si>
    <t>3141</t>
  </si>
  <si>
    <t>Telefonía Tradicional</t>
  </si>
  <si>
    <t>3171</t>
  </si>
  <si>
    <t>Servicios de Acceso de Internet, Redes y Procesamiento de Información</t>
  </si>
  <si>
    <t>3181</t>
  </si>
  <si>
    <t>Servicios Postales y Telegráficos</t>
  </si>
  <si>
    <t>3291</t>
  </si>
  <si>
    <t>Otros Arrendamientos</t>
  </si>
  <si>
    <t>Servicios Legales de Contabilidad, Auditoría y Relacionados</t>
  </si>
  <si>
    <t>3341</t>
  </si>
  <si>
    <t>Servicios de Capacitación</t>
  </si>
  <si>
    <t>3381</t>
  </si>
  <si>
    <t>Servicio de Vigilancia</t>
  </si>
  <si>
    <t>3411</t>
  </si>
  <si>
    <t>Servicios Financieros y Bancarios</t>
  </si>
  <si>
    <t>3451</t>
  </si>
  <si>
    <t>Seguro de Bienes Patrimoniales</t>
  </si>
  <si>
    <t>3511</t>
  </si>
  <si>
    <t>Conservación y Mantenimiento Menor de Inmuebles</t>
  </si>
  <si>
    <t>3521</t>
  </si>
  <si>
    <t>Instalación, Reparación y Mantenimiento de Mobiliario y Equipo de Administración, Educacional y Recreativo</t>
  </si>
  <si>
    <t>3551</t>
  </si>
  <si>
    <t>Reparación y Mantenimiento de Equipo de Transporte</t>
  </si>
  <si>
    <t>3571</t>
  </si>
  <si>
    <t>Instalación, Reparación y Mantenimiento de Maquinaria, Otros Equipos y Herramienta</t>
  </si>
  <si>
    <t>3581</t>
  </si>
  <si>
    <t>Servicios de Limpieza y Manejo de Desechos</t>
  </si>
  <si>
    <t>3611</t>
  </si>
  <si>
    <t>Difusión por Radio, Televisión y Otros Medios de Mensajes Sobre Programas y Actividades Gubernamentales</t>
  </si>
  <si>
    <t>3711</t>
  </si>
  <si>
    <t>Pasajes Aéreos</t>
  </si>
  <si>
    <t>3721</t>
  </si>
  <si>
    <t>Pasajes Terrestres</t>
  </si>
  <si>
    <t>3751</t>
  </si>
  <si>
    <t>Viáticos en el País</t>
  </si>
  <si>
    <t>3821</t>
  </si>
  <si>
    <t>Gastos de Orden Social y Cultural</t>
  </si>
  <si>
    <t>3831</t>
  </si>
  <si>
    <t>Congresos y Convenciones</t>
  </si>
  <si>
    <t>3921</t>
  </si>
  <si>
    <t>Impuestos y Derechos</t>
  </si>
  <si>
    <t>3981</t>
  </si>
  <si>
    <t>Impuestos Sobre Nominas y Otros que se Deriven de una Relación Laboral</t>
  </si>
  <si>
    <t>TOTAL CAPÍTULO 3000</t>
  </si>
  <si>
    <t>CAPÍTULO 4000</t>
  </si>
  <si>
    <t>Ayudas Sociales para Personas</t>
  </si>
  <si>
    <t>TOTAL CAPÍTULO 4000</t>
  </si>
  <si>
    <t>CAPÍTULO 5000</t>
  </si>
  <si>
    <t>5121</t>
  </si>
  <si>
    <t>Muebles Excepto de Oficina y Estantería</t>
  </si>
  <si>
    <t>Equipo de Cómputo y Tecnologías de la Información</t>
  </si>
  <si>
    <t>Otros Mobiliarios y Equipo de Administración</t>
  </si>
  <si>
    <t>Herramientas y Maquinas-Herramienta</t>
  </si>
  <si>
    <t>Otros Equips</t>
  </si>
  <si>
    <t>TOTAL CAPÍTULO 5000</t>
  </si>
  <si>
    <t>TOTAL PROYECTO</t>
  </si>
  <si>
    <t>Los titulares de las dependencias y entidades o instituciones que reciban recursos estatales parcial o totalmente, serán directamente responsables de la formulación de sus proyectos.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</si>
</sst>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-* #,##0.000_-;\-* #,##0.000_-;_-* &quot;-&quot;??_-;_-@_-"/>
  </numFmts>
  <fonts count="6" x14ac:knownFonts="1">
    <font>
      <sz val="10"/>
      <name val="Arial"/>
    </font>
    <font>
      <sz val="10"/>
      <name val="Arial"/>
      <family val="2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Arial"/>
      <family val="2"/>
    </font>
    <font>
      <sz val="7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2" borderId="1" xfId="2" applyFont="1" applyFill="1" applyBorder="1" applyAlignment="1">
      <alignment vertical="center"/>
    </xf>
    <xf numFmtId="0" fontId="2" fillId="2" borderId="2" xfId="2" applyFont="1" applyFill="1" applyBorder="1" applyAlignment="1">
      <alignment vertical="center"/>
    </xf>
    <xf numFmtId="0" fontId="2" fillId="2" borderId="3" xfId="2" applyFont="1" applyFill="1" applyBorder="1" applyAlignment="1">
      <alignment vertical="center"/>
    </xf>
    <xf numFmtId="43" fontId="2" fillId="2" borderId="0" xfId="1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2" fillId="2" borderId="4" xfId="2" applyFont="1" applyFill="1" applyBorder="1" applyAlignment="1">
      <alignment vertical="center"/>
    </xf>
    <xf numFmtId="0" fontId="3" fillId="2" borderId="0" xfId="2" applyFont="1" applyFill="1" applyAlignment="1">
      <alignment vertical="center"/>
    </xf>
    <xf numFmtId="0" fontId="2" fillId="2" borderId="5" xfId="2" applyFont="1" applyFill="1" applyBorder="1" applyAlignment="1">
      <alignment vertical="center"/>
    </xf>
    <xf numFmtId="0" fontId="2" fillId="2" borderId="6" xfId="2" applyFont="1" applyFill="1" applyBorder="1" applyAlignment="1">
      <alignment vertical="center"/>
    </xf>
    <xf numFmtId="0" fontId="2" fillId="2" borderId="7" xfId="2" applyFont="1" applyFill="1" applyBorder="1" applyAlignment="1">
      <alignment vertical="center"/>
    </xf>
    <xf numFmtId="0" fontId="2" fillId="2" borderId="8" xfId="2" applyFont="1" applyFill="1" applyBorder="1" applyAlignment="1">
      <alignment vertical="center"/>
    </xf>
    <xf numFmtId="43" fontId="1" fillId="2" borderId="0" xfId="1" applyFont="1" applyFill="1" applyAlignment="1">
      <alignment vertical="center"/>
    </xf>
    <xf numFmtId="0" fontId="1" fillId="2" borderId="0" xfId="2" applyFill="1" applyAlignment="1">
      <alignment vertical="center"/>
    </xf>
    <xf numFmtId="0" fontId="4" fillId="3" borderId="13" xfId="2" applyFont="1" applyFill="1" applyBorder="1" applyAlignment="1">
      <alignment horizontal="center" vertical="center"/>
    </xf>
    <xf numFmtId="0" fontId="1" fillId="2" borderId="0" xfId="2" applyFill="1" applyAlignment="1">
      <alignment vertical="center" wrapText="1"/>
    </xf>
    <xf numFmtId="43" fontId="1" fillId="2" borderId="0" xfId="1" applyFont="1" applyFill="1" applyAlignment="1">
      <alignment vertical="center" wrapText="1"/>
    </xf>
    <xf numFmtId="0" fontId="1" fillId="2" borderId="13" xfId="2" applyFill="1" applyBorder="1" applyAlignment="1">
      <alignment horizontal="center" vertical="center" wrapText="1"/>
    </xf>
    <xf numFmtId="0" fontId="1" fillId="2" borderId="9" xfId="2" applyFill="1" applyBorder="1" applyAlignment="1">
      <alignment horizontal="center" vertical="center" wrapText="1"/>
    </xf>
    <xf numFmtId="0" fontId="1" fillId="0" borderId="13" xfId="0" applyFont="1" applyBorder="1" applyAlignment="1">
      <alignment horizontal="justify" vertical="center"/>
    </xf>
    <xf numFmtId="164" fontId="1" fillId="2" borderId="13" xfId="2" applyNumberFormat="1" applyFill="1" applyBorder="1" applyAlignment="1">
      <alignment horizontal="right" vertical="center"/>
    </xf>
    <xf numFmtId="43" fontId="1" fillId="4" borderId="0" xfId="1" applyFont="1" applyFill="1" applyAlignment="1">
      <alignment vertical="center" wrapText="1"/>
    </xf>
    <xf numFmtId="165" fontId="1" fillId="2" borderId="0" xfId="1" applyNumberFormat="1" applyFont="1" applyFill="1" applyAlignment="1">
      <alignment vertical="center" wrapText="1"/>
    </xf>
    <xf numFmtId="43" fontId="1" fillId="2" borderId="0" xfId="2" applyNumberFormat="1" applyFill="1" applyAlignment="1">
      <alignment vertical="center" wrapText="1"/>
    </xf>
    <xf numFmtId="165" fontId="4" fillId="2" borderId="0" xfId="1" applyNumberFormat="1" applyFont="1" applyFill="1" applyAlignment="1">
      <alignment vertical="center" wrapText="1"/>
    </xf>
    <xf numFmtId="0" fontId="4" fillId="2" borderId="0" xfId="2" applyFont="1" applyFill="1" applyAlignment="1">
      <alignment vertical="center" wrapText="1"/>
    </xf>
    <xf numFmtId="43" fontId="4" fillId="2" borderId="0" xfId="1" applyFont="1" applyFill="1" applyAlignment="1">
      <alignment vertical="center" wrapText="1"/>
    </xf>
    <xf numFmtId="43" fontId="1" fillId="2" borderId="0" xfId="1" applyFont="1" applyFill="1" applyBorder="1" applyAlignment="1">
      <alignment vertical="center" wrapText="1"/>
    </xf>
    <xf numFmtId="165" fontId="1" fillId="2" borderId="0" xfId="1" applyNumberFormat="1" applyFont="1" applyFill="1" applyBorder="1" applyAlignment="1">
      <alignment vertical="center" wrapText="1"/>
    </xf>
    <xf numFmtId="0" fontId="4" fillId="2" borderId="10" xfId="2" applyFont="1" applyFill="1" applyBorder="1" applyAlignment="1">
      <alignment horizontal="center" vertical="center" wrapText="1"/>
    </xf>
    <xf numFmtId="164" fontId="4" fillId="2" borderId="13" xfId="2" applyNumberFormat="1" applyFont="1" applyFill="1" applyBorder="1" applyAlignment="1">
      <alignment horizontal="right" vertical="center"/>
    </xf>
    <xf numFmtId="165" fontId="1" fillId="2" borderId="0" xfId="2" applyNumberFormat="1" applyFill="1" applyAlignment="1">
      <alignment vertical="center" wrapText="1"/>
    </xf>
    <xf numFmtId="0" fontId="1" fillId="2" borderId="10" xfId="2" applyFill="1" applyBorder="1" applyAlignment="1">
      <alignment horizontal="center" vertical="center" wrapText="1"/>
    </xf>
    <xf numFmtId="0" fontId="1" fillId="0" borderId="10" xfId="0" applyFont="1" applyBorder="1" applyAlignment="1">
      <alignment horizontal="justify" vertical="center" wrapText="1"/>
    </xf>
    <xf numFmtId="164" fontId="1" fillId="2" borderId="10" xfId="2" applyNumberFormat="1" applyFill="1" applyBorder="1" applyAlignment="1">
      <alignment horizontal="right" vertical="center"/>
    </xf>
    <xf numFmtId="164" fontId="1" fillId="2" borderId="2" xfId="2" applyNumberFormat="1" applyFill="1" applyBorder="1" applyAlignment="1">
      <alignment horizontal="right" vertical="center"/>
    </xf>
    <xf numFmtId="164" fontId="1" fillId="2" borderId="6" xfId="2" applyNumberFormat="1" applyFill="1" applyBorder="1" applyAlignment="1">
      <alignment horizontal="right" vertical="center"/>
    </xf>
    <xf numFmtId="164" fontId="1" fillId="2" borderId="7" xfId="2" applyNumberFormat="1" applyFill="1" applyBorder="1" applyAlignment="1">
      <alignment horizontal="right" vertical="center"/>
    </xf>
    <xf numFmtId="43" fontId="0" fillId="0" borderId="0" xfId="1" applyFont="1"/>
    <xf numFmtId="0" fontId="1" fillId="5" borderId="13" xfId="2" applyFill="1" applyBorder="1" applyAlignment="1">
      <alignment horizontal="center" vertical="center" wrapText="1"/>
    </xf>
    <xf numFmtId="0" fontId="1" fillId="5" borderId="9" xfId="2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justify" vertical="center"/>
    </xf>
    <xf numFmtId="164" fontId="1" fillId="5" borderId="13" xfId="2" applyNumberFormat="1" applyFill="1" applyBorder="1" applyAlignment="1">
      <alignment horizontal="right" vertical="center"/>
    </xf>
    <xf numFmtId="164" fontId="4" fillId="2" borderId="13" xfId="2" applyNumberFormat="1" applyFont="1" applyFill="1" applyBorder="1" applyAlignment="1">
      <alignment vertical="center" wrapText="1"/>
    </xf>
    <xf numFmtId="0" fontId="1" fillId="2" borderId="2" xfId="2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43" fontId="2" fillId="2" borderId="0" xfId="1" applyFont="1" applyFill="1" applyAlignment="1">
      <alignment vertical="center" wrapText="1"/>
    </xf>
    <xf numFmtId="0" fontId="2" fillId="2" borderId="0" xfId="2" applyFont="1" applyFill="1" applyAlignment="1">
      <alignment vertical="center" wrapText="1"/>
    </xf>
    <xf numFmtId="0" fontId="1" fillId="2" borderId="13" xfId="2" applyFill="1" applyBorder="1" applyAlignment="1">
      <alignment horizontal="justify" vertical="center" wrapText="1"/>
    </xf>
    <xf numFmtId="0" fontId="1" fillId="5" borderId="13" xfId="2" applyFill="1" applyBorder="1" applyAlignment="1">
      <alignment horizontal="justify" vertical="center" wrapText="1"/>
    </xf>
    <xf numFmtId="164" fontId="4" fillId="2" borderId="10" xfId="2" applyNumberFormat="1" applyFont="1" applyFill="1" applyBorder="1" applyAlignment="1">
      <alignment horizontal="right" vertical="center"/>
    </xf>
    <xf numFmtId="164" fontId="4" fillId="2" borderId="2" xfId="2" applyNumberFormat="1" applyFont="1" applyFill="1" applyBorder="1" applyAlignment="1">
      <alignment horizontal="right" vertical="center"/>
    </xf>
    <xf numFmtId="164" fontId="1" fillId="2" borderId="0" xfId="2" applyNumberFormat="1" applyFill="1" applyAlignment="1">
      <alignment horizontal="right" vertical="center"/>
    </xf>
    <xf numFmtId="0" fontId="4" fillId="2" borderId="0" xfId="2" applyFont="1" applyFill="1" applyAlignment="1">
      <alignment horizontal="center" vertical="center" wrapText="1"/>
    </xf>
    <xf numFmtId="164" fontId="4" fillId="2" borderId="0" xfId="2" applyNumberFormat="1" applyFont="1" applyFill="1" applyAlignment="1">
      <alignment horizontal="right" vertical="center"/>
    </xf>
    <xf numFmtId="0" fontId="5" fillId="0" borderId="15" xfId="0" applyFont="1" applyBorder="1" applyAlignment="1">
      <alignment vertical="center"/>
    </xf>
    <xf numFmtId="0" fontId="1" fillId="2" borderId="0" xfId="2" applyFill="1" applyAlignment="1">
      <alignment horizontal="justify" vertical="center" wrapText="1"/>
    </xf>
    <xf numFmtId="43" fontId="2" fillId="2" borderId="0" xfId="1" applyFont="1" applyFill="1" applyBorder="1" applyAlignment="1">
      <alignment vertical="center" wrapText="1"/>
    </xf>
    <xf numFmtId="43" fontId="3" fillId="2" borderId="0" xfId="1" applyFont="1" applyFill="1" applyBorder="1" applyAlignment="1">
      <alignment vertical="center" wrapText="1"/>
    </xf>
    <xf numFmtId="43" fontId="3" fillId="2" borderId="0" xfId="1" applyFont="1" applyFill="1" applyAlignment="1">
      <alignment vertical="center" wrapText="1"/>
    </xf>
    <xf numFmtId="43" fontId="3" fillId="2" borderId="0" xfId="2" applyNumberFormat="1" applyFont="1" applyFill="1" applyAlignment="1">
      <alignment vertical="center"/>
    </xf>
    <xf numFmtId="43" fontId="2" fillId="2" borderId="0" xfId="2" applyNumberFormat="1" applyFont="1" applyFill="1" applyAlignment="1">
      <alignment vertical="center"/>
    </xf>
    <xf numFmtId="164" fontId="2" fillId="2" borderId="0" xfId="2" applyNumberFormat="1" applyFont="1" applyFill="1" applyAlignment="1">
      <alignment vertical="center"/>
    </xf>
    <xf numFmtId="0" fontId="4" fillId="2" borderId="9" xfId="2" applyFont="1" applyFill="1" applyBorder="1" applyAlignment="1">
      <alignment horizontal="center" vertical="center" wrapText="1"/>
    </xf>
    <xf numFmtId="0" fontId="4" fillId="2" borderId="10" xfId="2" applyFont="1" applyFill="1" applyBorder="1" applyAlignment="1">
      <alignment horizontal="center" vertical="center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9" xfId="2" applyFont="1" applyFill="1" applyBorder="1" applyAlignment="1">
      <alignment horizontal="left" vertical="center" wrapText="1"/>
    </xf>
    <xf numFmtId="0" fontId="4" fillId="2" borderId="10" xfId="2" applyFont="1" applyFill="1" applyBorder="1" applyAlignment="1">
      <alignment horizontal="left" vertical="center" wrapText="1"/>
    </xf>
    <xf numFmtId="0" fontId="4" fillId="2" borderId="11" xfId="2" applyFont="1" applyFill="1" applyBorder="1" applyAlignment="1">
      <alignment horizontal="left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4" fillId="3" borderId="10" xfId="2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4" fillId="2" borderId="9" xfId="2" applyFont="1" applyFill="1" applyBorder="1" applyAlignment="1">
      <alignment horizontal="left" vertical="center"/>
    </xf>
    <xf numFmtId="0" fontId="4" fillId="2" borderId="10" xfId="2" applyFont="1" applyFill="1" applyBorder="1" applyAlignment="1">
      <alignment horizontal="left" vertical="center"/>
    </xf>
    <xf numFmtId="0" fontId="4" fillId="2" borderId="11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center" vertical="center" wrapText="1"/>
    </xf>
    <xf numFmtId="0" fontId="4" fillId="3" borderId="14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" xfId="2" xr:uid="{99C4FCDF-6859-4FE8-80AA-4DA7E597AD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5</xdr:col>
      <xdr:colOff>1219200</xdr:colOff>
      <xdr:row>0</xdr:row>
      <xdr:rowOff>0</xdr:rowOff>
    </xdr:to>
    <xdr:pic>
      <xdr:nvPicPr>
        <xdr:cNvPr id="2" name="Picture 1" descr="PlecaPresupyEgresos">
          <a:extLst>
            <a:ext uri="{FF2B5EF4-FFF2-40B4-BE49-F238E27FC236}">
              <a16:creationId xmlns:a16="http://schemas.microsoft.com/office/drawing/2014/main" id="{4D09BC4A-0EEC-4EBD-AAB6-79A7238E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76200" y="0"/>
          <a:ext cx="53149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17</xdr:col>
      <xdr:colOff>0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BE00D444-EF54-4F79-B6DF-08270F9CDDEF}"/>
            </a:ext>
          </a:extLst>
        </xdr:cNvPr>
        <xdr:cNvSpPr txBox="1">
          <a:spLocks noChangeArrowheads="1"/>
        </xdr:cNvSpPr>
      </xdr:nvSpPr>
      <xdr:spPr bwMode="auto">
        <a:xfrm>
          <a:off x="5391150" y="0"/>
          <a:ext cx="100584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2009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PROYECTO</a:t>
          </a:r>
        </a:p>
      </xdr:txBody>
    </xdr:sp>
    <xdr:clientData/>
  </xdr:twoCellAnchor>
  <xdr:twoCellAnchor>
    <xdr:from>
      <xdr:col>0</xdr:col>
      <xdr:colOff>171450</xdr:colOff>
      <xdr:row>0</xdr:row>
      <xdr:rowOff>0</xdr:rowOff>
    </xdr:from>
    <xdr:to>
      <xdr:col>3</xdr:col>
      <xdr:colOff>1171575</xdr:colOff>
      <xdr:row>0</xdr:row>
      <xdr:rowOff>0</xdr:rowOff>
    </xdr:to>
    <xdr:pic>
      <xdr:nvPicPr>
        <xdr:cNvPr id="4" name="Picture 3" descr="PlecaPresupyEgresos">
          <a:extLst>
            <a:ext uri="{FF2B5EF4-FFF2-40B4-BE49-F238E27FC236}">
              <a16:creationId xmlns:a16="http://schemas.microsoft.com/office/drawing/2014/main" id="{17BCB621-DA37-41B3-92A7-FF0982B5C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r="62289" b="5556"/>
        <a:stretch>
          <a:fillRect/>
        </a:stretch>
      </xdr:blipFill>
      <xdr:spPr bwMode="auto">
        <a:xfrm>
          <a:off x="171450" y="0"/>
          <a:ext cx="2667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1466850</xdr:colOff>
      <xdr:row>0</xdr:row>
      <xdr:rowOff>0</xdr:rowOff>
    </xdr:from>
    <xdr:to>
      <xdr:col>10</xdr:col>
      <xdr:colOff>76200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A5723F78-9BA6-4AE5-9FF1-E6EF7C509284}"/>
            </a:ext>
          </a:extLst>
        </xdr:cNvPr>
        <xdr:cNvSpPr txBox="1">
          <a:spLocks noChangeArrowheads="1"/>
        </xdr:cNvSpPr>
      </xdr:nvSpPr>
      <xdr:spPr bwMode="auto">
        <a:xfrm>
          <a:off x="3133725" y="0"/>
          <a:ext cx="59912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GOBIERNO DEL ESTADO DE TLAXCALA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ANTEPROYECTO DE PRESUPUESTO DE EGRESOS 2008</a:t>
          </a: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ESTRUCTURA DE DEFINICIÓN DE LAS METAS DEL PROYECTO</a:t>
          </a:r>
        </a:p>
      </xdr:txBody>
    </xdr:sp>
    <xdr:clientData/>
  </xdr:twoCellAnchor>
  <xdr:twoCellAnchor>
    <xdr:from>
      <xdr:col>4</xdr:col>
      <xdr:colOff>416718</xdr:colOff>
      <xdr:row>0</xdr:row>
      <xdr:rowOff>119063</xdr:rowOff>
    </xdr:from>
    <xdr:to>
      <xdr:col>12</xdr:col>
      <xdr:colOff>71437</xdr:colOff>
      <xdr:row>3</xdr:row>
      <xdr:rowOff>150021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1D1C6003-F6D2-4C4C-B5E6-E92B3862D0E8}"/>
            </a:ext>
          </a:extLst>
        </xdr:cNvPr>
        <xdr:cNvSpPr txBox="1">
          <a:spLocks noChangeArrowheads="1"/>
        </xdr:cNvSpPr>
      </xdr:nvSpPr>
      <xdr:spPr bwMode="auto">
        <a:xfrm>
          <a:off x="3712368" y="119063"/>
          <a:ext cx="7236619" cy="5929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GOBIERNO DEL ESTADO DE TLAXCALA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ANTEPROYECTO DE PRESUPUESTO DE EGRESOS 2024</a:t>
          </a:r>
        </a:p>
        <a:p>
          <a:pPr algn="ctr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PROYECTO</a:t>
          </a:r>
          <a:r>
            <a:rPr lang="es-MX" sz="1000" b="1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PARTIDA CALENDARIZADO</a:t>
          </a:r>
          <a:endParaRPr lang="es-MX" sz="1000" b="1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15</xdr:col>
      <xdr:colOff>95251</xdr:colOff>
      <xdr:row>0</xdr:row>
      <xdr:rowOff>71436</xdr:rowOff>
    </xdr:from>
    <xdr:to>
      <xdr:col>16</xdr:col>
      <xdr:colOff>902495</xdr:colOff>
      <xdr:row>3</xdr:row>
      <xdr:rowOff>107155</xdr:rowOff>
    </xdr:to>
    <xdr:pic>
      <xdr:nvPicPr>
        <xdr:cNvPr id="7" name="3 Imagen" descr="C:\Users\Lenovo\AppData\Local\Temp\Rar$DIa5312.44163\asd1Recurso 4-20.jpg">
          <a:extLst>
            <a:ext uri="{FF2B5EF4-FFF2-40B4-BE49-F238E27FC236}">
              <a16:creationId xmlns:a16="http://schemas.microsoft.com/office/drawing/2014/main" id="{B576FAAD-75F8-491E-B537-C33A7C91D531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3765"/>
        <a:stretch/>
      </xdr:blipFill>
      <xdr:spPr bwMode="auto">
        <a:xfrm>
          <a:off x="13716001" y="71436"/>
          <a:ext cx="1721644" cy="597694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</xdr:col>
      <xdr:colOff>1440652</xdr:colOff>
      <xdr:row>104</xdr:row>
      <xdr:rowOff>154781</xdr:rowOff>
    </xdr:from>
    <xdr:to>
      <xdr:col>7</xdr:col>
      <xdr:colOff>30952</xdr:colOff>
      <xdr:row>113</xdr:row>
      <xdr:rowOff>45242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B71ED9A6-1E05-4371-8069-9DBCC8C90A56}"/>
            </a:ext>
          </a:extLst>
        </xdr:cNvPr>
        <xdr:cNvSpPr txBox="1"/>
      </xdr:nvSpPr>
      <xdr:spPr>
        <a:xfrm>
          <a:off x="3107527" y="18459450"/>
          <a:ext cx="3228975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P. Silvia Beristain Ixtlapale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Directora Administrativa</a:t>
          </a:r>
        </a:p>
      </xdr:txBody>
    </xdr:sp>
    <xdr:clientData/>
  </xdr:twoCellAnchor>
  <xdr:twoCellAnchor>
    <xdr:from>
      <xdr:col>10</xdr:col>
      <xdr:colOff>490532</xdr:colOff>
      <xdr:row>104</xdr:row>
      <xdr:rowOff>154781</xdr:rowOff>
    </xdr:from>
    <xdr:to>
      <xdr:col>14</xdr:col>
      <xdr:colOff>511968</xdr:colOff>
      <xdr:row>113</xdr:row>
      <xdr:rowOff>26193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60343548-5F94-43C5-B945-C1400F95E1E0}"/>
            </a:ext>
          </a:extLst>
        </xdr:cNvPr>
        <xdr:cNvSpPr txBox="1"/>
      </xdr:nvSpPr>
      <xdr:spPr>
        <a:xfrm>
          <a:off x="9539282" y="18459450"/>
          <a:ext cx="3679036" cy="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C. P. y Auditor Juan Manuel Lemus Pérez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MX" sz="10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 editAs="oneCell">
    <xdr:from>
      <xdr:col>0</xdr:col>
      <xdr:colOff>261938</xdr:colOff>
      <xdr:row>0</xdr:row>
      <xdr:rowOff>119063</xdr:rowOff>
    </xdr:from>
    <xdr:to>
      <xdr:col>3</xdr:col>
      <xdr:colOff>507971</xdr:colOff>
      <xdr:row>3</xdr:row>
      <xdr:rowOff>13696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ABF90163-8E43-456C-8F40-0C5836452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938" y="119063"/>
          <a:ext cx="1912908" cy="4566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ANTEPROYECTO%202024\ICATLAX-ANTEPROYECTO-FORM-PRESUP-2024-3%25%20(2).xlsx" TargetMode="External"/><Relationship Id="rId1" Type="http://schemas.openxmlformats.org/officeDocument/2006/relationships/externalLinkPath" Target="/INFORMACION/Desktop/ANTEPROYECTO%202024/ICATLAX-ANTEPROYECTO-FORM-PRESUP-2024-3%25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ICE"/>
      <sheetName val="CAPITULO"/>
      <sheetName val="RES-ECONO"/>
      <sheetName val="PROYECTO"/>
      <sheetName val="CONCEN-PROY"/>
      <sheetName val="PARTIDA"/>
      <sheetName val="PRESU PROY-PART 53-1H"/>
      <sheetName val="PRESU PROY-PART 119-3B"/>
      <sheetName val="PRESU PROY-PART 88-2G"/>
      <sheetName val="RES PROY CAP"/>
      <sheetName val="ANALISIS PTTO"/>
      <sheetName val="PLANTILLA OPDs"/>
      <sheetName val="ANALÍTICO DE PLAZAS OPDs"/>
      <sheetName val="DESGLOSE PART 2111"/>
      <sheetName val="DESGLOSE PART 2121"/>
      <sheetName val="DESGLOSE PART 2141"/>
      <sheetName val="DESGLOSE PART 2151"/>
      <sheetName val="DESGLOSE PART 2161"/>
      <sheetName val="DESGLOSE PART 2171"/>
      <sheetName val="DESGLOSE PART 2211"/>
      <sheetName val="DESGLOSE PART 2441"/>
      <sheetName val="DESGLOSE PART 2461"/>
      <sheetName val="DESGLOSE PART 2471"/>
      <sheetName val="DESGLOSE PART 2481"/>
      <sheetName val="DESGLOSE PART 2491"/>
      <sheetName val="DESGLOSE PART 2531"/>
      <sheetName val="DESGLOSE PART 2541"/>
      <sheetName val="DESGLOSE PART 2611"/>
      <sheetName val="DESGLOSE PART 2721"/>
      <sheetName val="DESGLOSE PART 2921"/>
      <sheetName val="DESGLOSE PART 2961"/>
      <sheetName val="DESGLOSE PART 3111"/>
      <sheetName val="DESGLOSE PART 3121"/>
      <sheetName val="DESGLOSE PART 3131"/>
      <sheetName val="DESGLOSE PART 3141"/>
      <sheetName val="DESGLOSE PART 3171"/>
      <sheetName val="DESGLOSE PART 3181"/>
      <sheetName val="DESGLOSE PART 3291"/>
      <sheetName val="DESGLOSE PART 3311"/>
      <sheetName val="DESGLOSE PART 3341"/>
      <sheetName val="DESGLOSE PART 3381"/>
      <sheetName val="DESGLOSE PART 3411"/>
      <sheetName val="DESGLOSE PART 3451"/>
      <sheetName val="DESGLOSE PART 3511"/>
      <sheetName val="DESGLOSE PART 3521"/>
      <sheetName val="DESGLOSE PART 3551 "/>
      <sheetName val="DESGLOSE PART  3571"/>
      <sheetName val="DESGLOSE PART 3581"/>
      <sheetName val="DESGLOSE PART  3611"/>
      <sheetName val="DESGLOSE PART 3711"/>
      <sheetName val="DESGLOSE PART  3721"/>
      <sheetName val="DESGLOSE PART  3751"/>
      <sheetName val="DESGLOSE PART  3821"/>
      <sheetName val="DESGLOSE PART  3831"/>
      <sheetName val="DESGLOSE PART  3921"/>
      <sheetName val="DESGLOSE PART  3981"/>
      <sheetName val="DESGLOSE PART  4411"/>
      <sheetName val="DESGLOSE PART 2111-714-JU"/>
      <sheetName val="DESGLOSE PART  2141-714-JU"/>
      <sheetName val="DESGLOSE PART2161-714-JU"/>
      <sheetName val="DESGLOSE PART  2211-714-JU"/>
      <sheetName val="DESGLOSE PART  3291-714-JU"/>
      <sheetName val="DESGLOSE PART  3821-714-JU"/>
      <sheetName val="DESGLOSE PART 4411-714-JU"/>
      <sheetName val="DESGLOSE PART  5121-714-JU"/>
      <sheetName val="DESGLOSE PART 5151-714-JU"/>
      <sheetName val="DESGLOSE PART  5191-714-JU"/>
      <sheetName val="DESGLOSE PART 5671-714-JU"/>
      <sheetName val="DESGLOSE PART 5691-714-JU"/>
      <sheetName val="DESGLOSE PART 3341-88-2G"/>
      <sheetName val="DESGLOSE PART  3921-88-2G"/>
      <sheetName val="FUENTE DE FIN"/>
      <sheetName val="PROY PART CAL GENERAL"/>
      <sheetName val="PROY PART CAL 53-1H"/>
      <sheetName val="PROY PART CAL 119-3B"/>
      <sheetName val="PROY PART CAL 88-2G"/>
      <sheetName val="N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1">
          <cell r="E111">
            <v>244622</v>
          </cell>
        </row>
      </sheetData>
      <sheetData sheetId="14">
        <row r="24">
          <cell r="E24">
            <v>59047</v>
          </cell>
        </row>
      </sheetData>
      <sheetData sheetId="15">
        <row r="61">
          <cell r="E61">
            <v>283319</v>
          </cell>
        </row>
      </sheetData>
      <sheetData sheetId="16">
        <row r="22">
          <cell r="E22">
            <v>58900</v>
          </cell>
        </row>
      </sheetData>
      <sheetData sheetId="17">
        <row r="41">
          <cell r="E41">
            <v>80858</v>
          </cell>
        </row>
      </sheetData>
      <sheetData sheetId="18">
        <row r="22">
          <cell r="E22">
            <v>21280</v>
          </cell>
        </row>
      </sheetData>
      <sheetData sheetId="19">
        <row r="26">
          <cell r="E26">
            <v>98130</v>
          </cell>
        </row>
      </sheetData>
      <sheetData sheetId="20">
        <row r="22">
          <cell r="E22">
            <v>11000</v>
          </cell>
        </row>
      </sheetData>
      <sheetData sheetId="21">
        <row r="34">
          <cell r="E34">
            <v>38600</v>
          </cell>
        </row>
      </sheetData>
      <sheetData sheetId="22">
        <row r="51">
          <cell r="E51">
            <v>12879</v>
          </cell>
        </row>
      </sheetData>
      <sheetData sheetId="23">
        <row r="25">
          <cell r="E25">
            <v>10500</v>
          </cell>
        </row>
      </sheetData>
      <sheetData sheetId="24">
        <row r="24">
          <cell r="E24">
            <v>12400</v>
          </cell>
        </row>
      </sheetData>
      <sheetData sheetId="25">
        <row r="25">
          <cell r="E25">
            <v>15939</v>
          </cell>
        </row>
      </sheetData>
      <sheetData sheetId="26">
        <row r="27">
          <cell r="E27">
            <v>13325</v>
          </cell>
        </row>
      </sheetData>
      <sheetData sheetId="27">
        <row r="21">
          <cell r="E21">
            <v>220290</v>
          </cell>
        </row>
      </sheetData>
      <sheetData sheetId="28">
        <row r="21">
          <cell r="E21">
            <v>9890</v>
          </cell>
        </row>
      </sheetData>
      <sheetData sheetId="29">
        <row r="23">
          <cell r="E23">
            <v>10880</v>
          </cell>
        </row>
      </sheetData>
      <sheetData sheetId="30">
        <row r="23">
          <cell r="E23">
            <v>88440</v>
          </cell>
        </row>
      </sheetData>
      <sheetData sheetId="31">
        <row r="21">
          <cell r="E21">
            <v>390000</v>
          </cell>
        </row>
      </sheetData>
      <sheetData sheetId="32">
        <row r="21">
          <cell r="E21">
            <v>28000</v>
          </cell>
        </row>
      </sheetData>
      <sheetData sheetId="33">
        <row r="21">
          <cell r="E21">
            <v>70400</v>
          </cell>
        </row>
      </sheetData>
      <sheetData sheetId="34">
        <row r="21">
          <cell r="E21">
            <v>186000</v>
          </cell>
        </row>
      </sheetData>
      <sheetData sheetId="35">
        <row r="21">
          <cell r="E21">
            <v>120000</v>
          </cell>
        </row>
      </sheetData>
      <sheetData sheetId="36">
        <row r="21">
          <cell r="E21">
            <v>10350</v>
          </cell>
        </row>
      </sheetData>
      <sheetData sheetId="37">
        <row r="20">
          <cell r="E20">
            <v>21360</v>
          </cell>
        </row>
      </sheetData>
      <sheetData sheetId="38">
        <row r="21">
          <cell r="E21">
            <v>7500</v>
          </cell>
        </row>
      </sheetData>
      <sheetData sheetId="39">
        <row r="21">
          <cell r="E21">
            <v>5030595</v>
          </cell>
        </row>
      </sheetData>
      <sheetData sheetId="40">
        <row r="21">
          <cell r="E21">
            <v>1371465</v>
          </cell>
        </row>
      </sheetData>
      <sheetData sheetId="41">
        <row r="21">
          <cell r="E21">
            <v>24900</v>
          </cell>
        </row>
      </sheetData>
      <sheetData sheetId="42">
        <row r="21">
          <cell r="E21">
            <v>196808.00000000003</v>
          </cell>
        </row>
      </sheetData>
      <sheetData sheetId="43">
        <row r="20">
          <cell r="E20">
            <v>35000</v>
          </cell>
        </row>
      </sheetData>
      <sheetData sheetId="44">
        <row r="21">
          <cell r="E21">
            <v>19800</v>
          </cell>
        </row>
      </sheetData>
      <sheetData sheetId="45">
        <row r="21">
          <cell r="E21">
            <v>98600</v>
          </cell>
        </row>
      </sheetData>
      <sheetData sheetId="46">
        <row r="21">
          <cell r="E21">
            <v>20872</v>
          </cell>
        </row>
      </sheetData>
      <sheetData sheetId="47">
        <row r="21">
          <cell r="E21">
            <v>6800</v>
          </cell>
        </row>
      </sheetData>
      <sheetData sheetId="48">
        <row r="21">
          <cell r="E21">
            <v>18800</v>
          </cell>
        </row>
      </sheetData>
      <sheetData sheetId="49">
        <row r="21">
          <cell r="E21">
            <v>90000</v>
          </cell>
        </row>
      </sheetData>
      <sheetData sheetId="50">
        <row r="21">
          <cell r="E21">
            <v>9000</v>
          </cell>
        </row>
      </sheetData>
      <sheetData sheetId="51">
        <row r="21">
          <cell r="E21">
            <v>105000</v>
          </cell>
        </row>
      </sheetData>
      <sheetData sheetId="52">
        <row r="21">
          <cell r="E21">
            <v>215000</v>
          </cell>
        </row>
      </sheetData>
      <sheetData sheetId="53">
        <row r="21">
          <cell r="E21">
            <v>38000</v>
          </cell>
        </row>
      </sheetData>
      <sheetData sheetId="54">
        <row r="21">
          <cell r="E21">
            <v>53385</v>
          </cell>
        </row>
      </sheetData>
      <sheetData sheetId="55">
        <row r="21">
          <cell r="E21">
            <v>690000</v>
          </cell>
        </row>
      </sheetData>
      <sheetData sheetId="56"/>
      <sheetData sheetId="57">
        <row r="21">
          <cell r="E21">
            <v>27737</v>
          </cell>
        </row>
      </sheetData>
      <sheetData sheetId="58">
        <row r="21">
          <cell r="E21">
            <v>247013</v>
          </cell>
        </row>
      </sheetData>
      <sheetData sheetId="59">
        <row r="35">
          <cell r="E35">
            <v>106300</v>
          </cell>
        </row>
      </sheetData>
      <sheetData sheetId="60">
        <row r="28">
          <cell r="E28">
            <v>300000</v>
          </cell>
        </row>
      </sheetData>
      <sheetData sheetId="61">
        <row r="21">
          <cell r="E21">
            <v>50000</v>
          </cell>
        </row>
      </sheetData>
      <sheetData sheetId="62">
        <row r="21">
          <cell r="E21">
            <v>150000</v>
          </cell>
        </row>
      </sheetData>
      <sheetData sheetId="63"/>
      <sheetData sheetId="64">
        <row r="21">
          <cell r="E21">
            <v>29600</v>
          </cell>
        </row>
      </sheetData>
      <sheetData sheetId="65">
        <row r="21">
          <cell r="E21">
            <v>45000</v>
          </cell>
        </row>
      </sheetData>
      <sheetData sheetId="66">
        <row r="21">
          <cell r="E21">
            <v>36000</v>
          </cell>
        </row>
      </sheetData>
      <sheetData sheetId="67">
        <row r="21">
          <cell r="E21">
            <v>20050</v>
          </cell>
        </row>
      </sheetData>
      <sheetData sheetId="68">
        <row r="21">
          <cell r="E21">
            <v>14400</v>
          </cell>
        </row>
      </sheetData>
      <sheetData sheetId="69">
        <row r="21">
          <cell r="E21">
            <v>116270</v>
          </cell>
        </row>
      </sheetData>
      <sheetData sheetId="70">
        <row r="21">
          <cell r="E21">
            <v>18113</v>
          </cell>
        </row>
      </sheetData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4E836-E19D-4BF3-A201-F927A11BE25F}">
  <sheetPr>
    <tabColor theme="6" tint="0.59999389629810485"/>
  </sheetPr>
  <dimension ref="A1:AD137"/>
  <sheetViews>
    <sheetView tabSelected="1" view="pageBreakPreview" zoomScale="80" zoomScaleNormal="80" zoomScaleSheetLayoutView="80" workbookViewId="0">
      <pane xSplit="5" ySplit="36" topLeftCell="F37" activePane="bottomRight" state="frozen"/>
      <selection pane="topRight" activeCell="F1" sqref="F1"/>
      <selection pane="bottomLeft" activeCell="A37" sqref="A37"/>
      <selection pane="bottomRight" activeCell="Y10" sqref="Y10"/>
    </sheetView>
  </sheetViews>
  <sheetFormatPr baseColWidth="10" defaultColWidth="11.42578125" defaultRowHeight="13.5" x14ac:dyDescent="0.2"/>
  <cols>
    <col min="1" max="1" width="6.85546875" style="5" customWidth="1"/>
    <col min="2" max="2" width="8.140625" style="5" customWidth="1"/>
    <col min="3" max="3" width="10" style="5" customWidth="1"/>
    <col min="4" max="4" width="24.42578125" style="5" customWidth="1"/>
    <col min="5" max="5" width="17.7109375" style="5" bestFit="1" customWidth="1"/>
    <col min="6" max="17" width="13.7109375" style="5" customWidth="1"/>
    <col min="18" max="18" width="15" style="4" hidden="1" customWidth="1"/>
    <col min="19" max="19" width="16.140625" style="4" hidden="1" customWidth="1"/>
    <col min="20" max="20" width="13.5703125" style="4" hidden="1" customWidth="1"/>
    <col min="21" max="21" width="22.5703125" style="4" hidden="1" customWidth="1"/>
    <col min="22" max="22" width="15.7109375" style="5" hidden="1" customWidth="1"/>
    <col min="23" max="24" width="0" style="5" hidden="1" customWidth="1"/>
    <col min="25" max="25" width="16.85546875" style="4" customWidth="1"/>
    <col min="26" max="26" width="15.42578125" style="5" hidden="1" customWidth="1"/>
    <col min="27" max="27" width="0" style="5" hidden="1" customWidth="1"/>
    <col min="28" max="28" width="12" style="4" hidden="1" customWidth="1"/>
    <col min="29" max="29" width="17.5703125" style="5" hidden="1" customWidth="1"/>
    <col min="30" max="30" width="0" style="5" hidden="1" customWidth="1"/>
    <col min="31" max="16384" width="11.42578125" style="5"/>
  </cols>
  <sheetData>
    <row r="1" spans="1:28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28" ht="15.75" customHeight="1" x14ac:dyDescent="0.2">
      <c r="A2" s="6"/>
      <c r="D2" s="7"/>
      <c r="E2" s="7"/>
      <c r="F2" s="7"/>
      <c r="Q2" s="8"/>
    </row>
    <row r="3" spans="1:28" ht="15.75" customHeight="1" x14ac:dyDescent="0.2">
      <c r="A3" s="6"/>
      <c r="E3" s="7"/>
      <c r="P3" s="71"/>
      <c r="Q3" s="72"/>
    </row>
    <row r="4" spans="1:28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/>
    </row>
    <row r="5" spans="1:28" ht="6" customHeight="1" x14ac:dyDescent="0.2"/>
    <row r="6" spans="1:28" s="13" customFormat="1" ht="13.5" customHeight="1" x14ac:dyDescent="0.2">
      <c r="A6" s="73" t="s">
        <v>0</v>
      </c>
      <c r="B6" s="74"/>
      <c r="C6" s="74"/>
      <c r="D6" s="73" t="s">
        <v>1</v>
      </c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5"/>
      <c r="R6" s="12"/>
      <c r="S6" s="12"/>
      <c r="T6" s="12"/>
      <c r="U6" s="12"/>
      <c r="Y6" s="12"/>
      <c r="AB6" s="12"/>
    </row>
    <row r="7" spans="1:28" s="13" customFormat="1" ht="13.5" customHeight="1" x14ac:dyDescent="0.2">
      <c r="A7" s="73" t="s">
        <v>2</v>
      </c>
      <c r="B7" s="74"/>
      <c r="C7" s="74"/>
      <c r="D7" s="73" t="s">
        <v>3</v>
      </c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5"/>
      <c r="R7" s="12"/>
      <c r="S7" s="12"/>
      <c r="T7" s="12"/>
      <c r="U7" s="12"/>
      <c r="Y7" s="12"/>
      <c r="AB7" s="12"/>
    </row>
    <row r="8" spans="1:28" s="13" customFormat="1" ht="6" customHeight="1" x14ac:dyDescent="0.2">
      <c r="R8" s="12"/>
      <c r="S8" s="12"/>
      <c r="T8" s="12"/>
      <c r="U8" s="12"/>
      <c r="Y8" s="12"/>
      <c r="AB8" s="12"/>
    </row>
    <row r="9" spans="1:28" s="13" customFormat="1" ht="12.75" customHeight="1" x14ac:dyDescent="0.2">
      <c r="A9" s="76" t="s">
        <v>4</v>
      </c>
      <c r="B9" s="78" t="s">
        <v>5</v>
      </c>
      <c r="C9" s="76" t="s">
        <v>6</v>
      </c>
      <c r="D9" s="76" t="s">
        <v>7</v>
      </c>
      <c r="E9" s="78" t="s">
        <v>8</v>
      </c>
      <c r="F9" s="69" t="s">
        <v>9</v>
      </c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12"/>
      <c r="S9" s="12"/>
      <c r="T9" s="12"/>
      <c r="U9" s="12"/>
      <c r="Y9" s="12"/>
      <c r="AB9" s="12"/>
    </row>
    <row r="10" spans="1:28" s="13" customFormat="1" ht="27.75" customHeight="1" x14ac:dyDescent="0.2">
      <c r="A10" s="77"/>
      <c r="B10" s="78"/>
      <c r="C10" s="77"/>
      <c r="D10" s="77"/>
      <c r="E10" s="78"/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  <c r="N10" s="14" t="s">
        <v>18</v>
      </c>
      <c r="O10" s="14" t="s">
        <v>19</v>
      </c>
      <c r="P10" s="14" t="s">
        <v>20</v>
      </c>
      <c r="Q10" s="14" t="s">
        <v>21</v>
      </c>
      <c r="R10" s="12"/>
      <c r="S10" s="12"/>
      <c r="T10" s="12"/>
      <c r="U10" s="12"/>
      <c r="Y10" s="12"/>
      <c r="AB10" s="12"/>
    </row>
    <row r="11" spans="1:28" s="15" customFormat="1" ht="21" hidden="1" customHeight="1" x14ac:dyDescent="0.2">
      <c r="R11" s="16"/>
      <c r="S11" s="16"/>
      <c r="T11" s="16"/>
      <c r="U11" s="16"/>
      <c r="Y11" s="16"/>
      <c r="AB11" s="16"/>
    </row>
    <row r="12" spans="1:28" s="15" customFormat="1" ht="23.25" hidden="1" customHeight="1" x14ac:dyDescent="0.2">
      <c r="A12" s="66" t="s">
        <v>22</v>
      </c>
      <c r="B12" s="67"/>
      <c r="C12" s="67"/>
      <c r="D12" s="67"/>
      <c r="E12" s="68"/>
      <c r="R12" s="16"/>
      <c r="S12" s="16"/>
      <c r="T12" s="16"/>
      <c r="U12" s="16"/>
      <c r="Y12" s="16"/>
      <c r="AB12" s="16"/>
    </row>
    <row r="13" spans="1:28" s="15" customFormat="1" ht="12.75" hidden="1" x14ac:dyDescent="0.2">
      <c r="A13" s="17">
        <v>15</v>
      </c>
      <c r="B13" s="18">
        <v>1</v>
      </c>
      <c r="C13" s="17" t="s">
        <v>23</v>
      </c>
      <c r="D13" s="19" t="s">
        <v>24</v>
      </c>
      <c r="E13" s="20">
        <f>SUM(F13:Q13)</f>
        <v>5397542</v>
      </c>
      <c r="F13" s="20">
        <v>490685</v>
      </c>
      <c r="G13" s="20">
        <v>490685</v>
      </c>
      <c r="H13" s="20">
        <v>490685</v>
      </c>
      <c r="I13" s="20">
        <v>490685</v>
      </c>
      <c r="J13" s="20">
        <v>490685</v>
      </c>
      <c r="K13" s="20">
        <v>490685</v>
      </c>
      <c r="L13" s="20">
        <v>490685</v>
      </c>
      <c r="M13" s="20">
        <v>490685</v>
      </c>
      <c r="N13" s="20">
        <v>490685</v>
      </c>
      <c r="O13" s="20">
        <v>490685</v>
      </c>
      <c r="P13" s="20">
        <f>490685+7</f>
        <v>490692</v>
      </c>
      <c r="Q13" s="20">
        <v>0</v>
      </c>
      <c r="R13" s="16">
        <f>1124487.86*12+0.6</f>
        <v>13493854.92</v>
      </c>
      <c r="S13" s="21">
        <f>+R13*0.4</f>
        <v>5397541.9680000003</v>
      </c>
      <c r="T13" s="16">
        <f t="shared" ref="T13:T19" si="0">+S13/11</f>
        <v>490685.63345454546</v>
      </c>
      <c r="U13" s="16">
        <f>+S13-E13</f>
        <v>-3.1999999657273293E-2</v>
      </c>
      <c r="V13" s="22">
        <v>5397541.9699999997</v>
      </c>
      <c r="Y13" s="16"/>
      <c r="Z13" s="23">
        <f t="shared" ref="Z13:Z44" si="1">SUM(F13:Q13)</f>
        <v>5397542</v>
      </c>
      <c r="AA13" s="23">
        <f>+Z13-E13</f>
        <v>0</v>
      </c>
      <c r="AB13" s="16"/>
    </row>
    <row r="14" spans="1:28" s="15" customFormat="1" ht="12.75" hidden="1" x14ac:dyDescent="0.2">
      <c r="A14" s="17">
        <v>15</v>
      </c>
      <c r="B14" s="18">
        <v>1</v>
      </c>
      <c r="C14" s="17" t="s">
        <v>25</v>
      </c>
      <c r="D14" s="19" t="s">
        <v>26</v>
      </c>
      <c r="E14" s="20">
        <f t="shared" ref="E14:E33" si="2">SUM(F14:Q14)</f>
        <v>9001981</v>
      </c>
      <c r="F14" s="20">
        <v>818362</v>
      </c>
      <c r="G14" s="20">
        <v>818362</v>
      </c>
      <c r="H14" s="20">
        <v>818362</v>
      </c>
      <c r="I14" s="20">
        <v>818362</v>
      </c>
      <c r="J14" s="20">
        <v>818362</v>
      </c>
      <c r="K14" s="20">
        <v>818362</v>
      </c>
      <c r="L14" s="20">
        <v>818362</v>
      </c>
      <c r="M14" s="20">
        <v>818362</v>
      </c>
      <c r="N14" s="20">
        <v>818362</v>
      </c>
      <c r="O14" s="20">
        <v>818362</v>
      </c>
      <c r="P14" s="20">
        <v>818361</v>
      </c>
      <c r="Q14" s="20">
        <v>0</v>
      </c>
      <c r="R14" s="16">
        <v>22504953.07</v>
      </c>
      <c r="S14" s="21">
        <f t="shared" ref="S14:S22" si="3">+R14*0.4</f>
        <v>9001981.2280000001</v>
      </c>
      <c r="T14" s="16">
        <f t="shared" si="0"/>
        <v>818361.92981818179</v>
      </c>
      <c r="U14" s="16">
        <f t="shared" ref="U14:U33" si="4">+S14-E14</f>
        <v>0.22800000011920929</v>
      </c>
      <c r="V14" s="22">
        <v>9001981.2299999986</v>
      </c>
      <c r="Y14" s="16"/>
      <c r="Z14" s="23">
        <f t="shared" si="1"/>
        <v>9001981</v>
      </c>
      <c r="AA14" s="23">
        <f t="shared" ref="AA14:AA77" si="5">+Z14-E14</f>
        <v>0</v>
      </c>
      <c r="AB14" s="16"/>
    </row>
    <row r="15" spans="1:28" s="15" customFormat="1" ht="25.5" hidden="1" x14ac:dyDescent="0.2">
      <c r="A15" s="17">
        <v>15</v>
      </c>
      <c r="B15" s="18">
        <v>1</v>
      </c>
      <c r="C15" s="17">
        <v>1311</v>
      </c>
      <c r="D15" s="19" t="s">
        <v>27</v>
      </c>
      <c r="E15" s="20">
        <f t="shared" si="2"/>
        <v>161766</v>
      </c>
      <c r="F15" s="20">
        <v>14706</v>
      </c>
      <c r="G15" s="20">
        <v>14706</v>
      </c>
      <c r="H15" s="20">
        <v>14706</v>
      </c>
      <c r="I15" s="20">
        <v>14706</v>
      </c>
      <c r="J15" s="20">
        <v>14706</v>
      </c>
      <c r="K15" s="20">
        <v>14706</v>
      </c>
      <c r="L15" s="20">
        <v>14706</v>
      </c>
      <c r="M15" s="20">
        <v>14706</v>
      </c>
      <c r="N15" s="20">
        <v>14706</v>
      </c>
      <c r="O15" s="20">
        <v>14706</v>
      </c>
      <c r="P15" s="20">
        <v>14706</v>
      </c>
      <c r="Q15" s="20">
        <v>0</v>
      </c>
      <c r="R15" s="16">
        <v>404415.08</v>
      </c>
      <c r="S15" s="21">
        <f t="shared" si="3"/>
        <v>161766.03200000001</v>
      </c>
      <c r="T15" s="16">
        <f t="shared" si="0"/>
        <v>14706.00290909091</v>
      </c>
      <c r="U15" s="16">
        <f t="shared" si="4"/>
        <v>3.2000000006519258E-2</v>
      </c>
      <c r="V15" s="22">
        <v>161766.03</v>
      </c>
      <c r="Y15" s="16"/>
      <c r="Z15" s="23">
        <f t="shared" si="1"/>
        <v>161766</v>
      </c>
      <c r="AA15" s="23">
        <f t="shared" si="5"/>
        <v>0</v>
      </c>
      <c r="AB15" s="16"/>
    </row>
    <row r="16" spans="1:28" s="15" customFormat="1" ht="25.5" hidden="1" x14ac:dyDescent="0.2">
      <c r="A16" s="17">
        <v>15</v>
      </c>
      <c r="B16" s="18">
        <v>1</v>
      </c>
      <c r="C16" s="17" t="s">
        <v>28</v>
      </c>
      <c r="D16" s="19" t="s">
        <v>29</v>
      </c>
      <c r="E16" s="20">
        <f t="shared" si="2"/>
        <v>179916</v>
      </c>
      <c r="F16" s="20">
        <v>16356</v>
      </c>
      <c r="G16" s="20">
        <v>16356</v>
      </c>
      <c r="H16" s="20">
        <v>16356</v>
      </c>
      <c r="I16" s="20">
        <v>16356</v>
      </c>
      <c r="J16" s="20">
        <v>16356</v>
      </c>
      <c r="K16" s="20">
        <v>16356</v>
      </c>
      <c r="L16" s="20">
        <v>16356</v>
      </c>
      <c r="M16" s="20">
        <v>16356</v>
      </c>
      <c r="N16" s="20">
        <v>16356</v>
      </c>
      <c r="O16" s="20">
        <v>16356</v>
      </c>
      <c r="P16" s="20">
        <v>16356</v>
      </c>
      <c r="Q16" s="20">
        <v>0</v>
      </c>
      <c r="R16" s="16">
        <v>449789.67</v>
      </c>
      <c r="S16" s="21">
        <f t="shared" si="3"/>
        <v>179915.86800000002</v>
      </c>
      <c r="T16" s="16">
        <f t="shared" si="0"/>
        <v>16355.988000000001</v>
      </c>
      <c r="U16" s="16">
        <f t="shared" si="4"/>
        <v>-0.13199999998323619</v>
      </c>
      <c r="V16" s="22">
        <v>179915.87</v>
      </c>
      <c r="Y16" s="16"/>
      <c r="Z16" s="23">
        <f t="shared" si="1"/>
        <v>179916</v>
      </c>
      <c r="AA16" s="23">
        <f t="shared" si="5"/>
        <v>0</v>
      </c>
      <c r="AB16" s="16"/>
    </row>
    <row r="17" spans="1:28" s="15" customFormat="1" ht="25.5" hidden="1" x14ac:dyDescent="0.2">
      <c r="A17" s="17">
        <v>15</v>
      </c>
      <c r="B17" s="18">
        <v>1</v>
      </c>
      <c r="C17" s="17" t="s">
        <v>30</v>
      </c>
      <c r="D17" s="19" t="s">
        <v>31</v>
      </c>
      <c r="E17" s="20">
        <f t="shared" si="2"/>
        <v>300057</v>
      </c>
      <c r="F17" s="20">
        <v>27278</v>
      </c>
      <c r="G17" s="20">
        <v>27278</v>
      </c>
      <c r="H17" s="20">
        <v>27278</v>
      </c>
      <c r="I17" s="20">
        <v>27278</v>
      </c>
      <c r="J17" s="20">
        <v>27278</v>
      </c>
      <c r="K17" s="20">
        <v>27278</v>
      </c>
      <c r="L17" s="20">
        <v>27278</v>
      </c>
      <c r="M17" s="20">
        <v>27278</v>
      </c>
      <c r="N17" s="20">
        <v>27278</v>
      </c>
      <c r="O17" s="20">
        <v>27278</v>
      </c>
      <c r="P17" s="20">
        <v>27277</v>
      </c>
      <c r="Q17" s="20">
        <v>0</v>
      </c>
      <c r="R17" s="16">
        <v>750141.79</v>
      </c>
      <c r="S17" s="21">
        <f t="shared" si="3"/>
        <v>300056.71600000001</v>
      </c>
      <c r="T17" s="16">
        <f t="shared" si="0"/>
        <v>27277.883272727275</v>
      </c>
      <c r="U17" s="16">
        <f t="shared" si="4"/>
        <v>-0.28399999998509884</v>
      </c>
      <c r="V17" s="22">
        <v>300056.70999999996</v>
      </c>
      <c r="Y17" s="16"/>
      <c r="Z17" s="23">
        <f t="shared" si="1"/>
        <v>300057</v>
      </c>
      <c r="AA17" s="23">
        <f t="shared" si="5"/>
        <v>0</v>
      </c>
      <c r="AB17" s="16"/>
    </row>
    <row r="18" spans="1:28" s="15" customFormat="1" ht="25.5" hidden="1" x14ac:dyDescent="0.2">
      <c r="A18" s="17">
        <v>15</v>
      </c>
      <c r="B18" s="18">
        <v>1</v>
      </c>
      <c r="C18" s="17" t="s">
        <v>32</v>
      </c>
      <c r="D18" s="19" t="s">
        <v>33</v>
      </c>
      <c r="E18" s="20">
        <f t="shared" si="2"/>
        <v>753867</v>
      </c>
      <c r="F18" s="20">
        <v>91602</v>
      </c>
      <c r="G18" s="20">
        <v>65424</v>
      </c>
      <c r="H18" s="20">
        <f>65424.48-16850.8+0.32</f>
        <v>48574.000000000007</v>
      </c>
      <c r="I18" s="20">
        <v>74751</v>
      </c>
      <c r="J18" s="20">
        <v>65424</v>
      </c>
      <c r="K18" s="20">
        <v>65424</v>
      </c>
      <c r="L18" s="20">
        <v>74751</v>
      </c>
      <c r="M18" s="20">
        <v>65424</v>
      </c>
      <c r="N18" s="20">
        <v>65424</v>
      </c>
      <c r="O18" s="20">
        <f>65424.48+6217.76-0.24</f>
        <v>71642</v>
      </c>
      <c r="P18" s="20">
        <f>65427</f>
        <v>65427</v>
      </c>
      <c r="Q18" s="20">
        <v>0</v>
      </c>
      <c r="R18" s="16">
        <v>1799173.1</v>
      </c>
      <c r="S18" s="21">
        <f>+(R18*0.4)+34197.71</f>
        <v>753866.95000000007</v>
      </c>
      <c r="T18" s="16">
        <f t="shared" si="0"/>
        <v>68533.3590909091</v>
      </c>
      <c r="U18" s="16">
        <f t="shared" si="4"/>
        <v>-4.9999999930150807E-2</v>
      </c>
      <c r="V18" s="22">
        <v>753866.95</v>
      </c>
      <c r="Y18" s="16"/>
      <c r="Z18" s="23">
        <f t="shared" si="1"/>
        <v>753867</v>
      </c>
      <c r="AA18" s="23">
        <f t="shared" si="5"/>
        <v>0</v>
      </c>
      <c r="AB18" s="16"/>
    </row>
    <row r="19" spans="1:28" s="25" customFormat="1" ht="27.75" hidden="1" customHeight="1" x14ac:dyDescent="0.2">
      <c r="A19" s="17">
        <v>15</v>
      </c>
      <c r="B19" s="18">
        <v>1</v>
      </c>
      <c r="C19" s="17" t="s">
        <v>34</v>
      </c>
      <c r="D19" s="19" t="s">
        <v>35</v>
      </c>
      <c r="E19" s="20">
        <f t="shared" si="2"/>
        <v>1245168</v>
      </c>
      <c r="F19" s="20">
        <v>121363</v>
      </c>
      <c r="G19" s="20">
        <v>109114</v>
      </c>
      <c r="H19" s="20">
        <v>109114</v>
      </c>
      <c r="I19" s="20">
        <v>121363</v>
      </c>
      <c r="J19" s="20">
        <v>109114</v>
      </c>
      <c r="K19" s="20">
        <v>109114</v>
      </c>
      <c r="L19" s="20">
        <v>121363</v>
      </c>
      <c r="M19" s="20">
        <v>109114</v>
      </c>
      <c r="N19" s="20">
        <v>109114</v>
      </c>
      <c r="O19" s="20">
        <f>109114.27+8165.66+0.07</f>
        <v>117280.00000000001</v>
      </c>
      <c r="P19" s="20">
        <v>109115</v>
      </c>
      <c r="Q19" s="20">
        <v>0</v>
      </c>
      <c r="R19" s="16">
        <v>3000642.35</v>
      </c>
      <c r="S19" s="21">
        <f>+(R19*0.4)+44911.19</f>
        <v>1245168.1300000001</v>
      </c>
      <c r="T19" s="16">
        <f t="shared" si="0"/>
        <v>113197.10272727274</v>
      </c>
      <c r="U19" s="16">
        <f t="shared" si="4"/>
        <v>0.13000000012107193</v>
      </c>
      <c r="V19" s="24">
        <v>1245168.1300000001</v>
      </c>
      <c r="W19" s="15"/>
      <c r="Y19" s="26"/>
      <c r="Z19" s="23">
        <f t="shared" si="1"/>
        <v>1245168</v>
      </c>
      <c r="AA19" s="23">
        <f t="shared" si="5"/>
        <v>0</v>
      </c>
      <c r="AB19" s="26"/>
    </row>
    <row r="20" spans="1:28" s="25" customFormat="1" ht="38.25" hidden="1" x14ac:dyDescent="0.2">
      <c r="A20" s="17">
        <v>15</v>
      </c>
      <c r="B20" s="18">
        <v>1</v>
      </c>
      <c r="C20" s="17" t="s">
        <v>36</v>
      </c>
      <c r="D20" s="19" t="s">
        <v>37</v>
      </c>
      <c r="E20" s="20">
        <f t="shared" si="2"/>
        <v>1124488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1124488</v>
      </c>
      <c r="Q20" s="20">
        <v>0</v>
      </c>
      <c r="R20" s="16"/>
      <c r="S20" s="21">
        <v>1124487.8600000001</v>
      </c>
      <c r="T20" s="16"/>
      <c r="U20" s="16">
        <f t="shared" si="4"/>
        <v>-0.13999999989755452</v>
      </c>
      <c r="V20" s="24"/>
      <c r="W20" s="15"/>
      <c r="Y20" s="26"/>
      <c r="Z20" s="23">
        <f t="shared" si="1"/>
        <v>1124488</v>
      </c>
      <c r="AA20" s="23">
        <f t="shared" si="5"/>
        <v>0</v>
      </c>
      <c r="AB20" s="26"/>
    </row>
    <row r="21" spans="1:28" s="15" customFormat="1" ht="24" hidden="1" customHeight="1" x14ac:dyDescent="0.2">
      <c r="A21" s="17">
        <v>15</v>
      </c>
      <c r="B21" s="18">
        <v>1</v>
      </c>
      <c r="C21" s="17" t="s">
        <v>38</v>
      </c>
      <c r="D21" s="19" t="s">
        <v>39</v>
      </c>
      <c r="E21" s="20">
        <f t="shared" si="2"/>
        <v>2877094</v>
      </c>
      <c r="F21" s="20">
        <v>91062</v>
      </c>
      <c r="G21" s="20">
        <v>91062</v>
      </c>
      <c r="H21" s="20">
        <v>91062</v>
      </c>
      <c r="I21" s="20">
        <v>91062</v>
      </c>
      <c r="J21" s="20">
        <v>91062</v>
      </c>
      <c r="K21" s="20">
        <v>91062</v>
      </c>
      <c r="L21" s="20">
        <v>91062</v>
      </c>
      <c r="M21" s="20">
        <v>91062</v>
      </c>
      <c r="N21" s="20">
        <v>91062</v>
      </c>
      <c r="O21" s="20">
        <v>91061</v>
      </c>
      <c r="P21" s="20">
        <f>91062+1875413</f>
        <v>1966475</v>
      </c>
      <c r="Q21" s="20">
        <v>0</v>
      </c>
      <c r="R21" s="16">
        <v>2504201.92</v>
      </c>
      <c r="S21" s="21">
        <f>+(R21*0.4)+1875412.76</f>
        <v>2877093.5279999999</v>
      </c>
      <c r="T21" s="16">
        <f t="shared" ref="T21:T33" si="6">+S21/11</f>
        <v>261553.9570909091</v>
      </c>
      <c r="U21" s="16">
        <f t="shared" si="4"/>
        <v>-0.47200000006705523</v>
      </c>
      <c r="V21" s="22">
        <v>1001680.77</v>
      </c>
      <c r="Y21" s="16"/>
      <c r="Z21" s="23">
        <f t="shared" si="1"/>
        <v>2877094</v>
      </c>
      <c r="AA21" s="23">
        <f t="shared" si="5"/>
        <v>0</v>
      </c>
      <c r="AB21" s="16"/>
    </row>
    <row r="22" spans="1:28" s="15" customFormat="1" ht="25.5" hidden="1" x14ac:dyDescent="0.2">
      <c r="A22" s="17">
        <v>15</v>
      </c>
      <c r="B22" s="18">
        <v>1</v>
      </c>
      <c r="C22" s="17" t="s">
        <v>40</v>
      </c>
      <c r="D22" s="19" t="s">
        <v>41</v>
      </c>
      <c r="E22" s="20">
        <f t="shared" si="2"/>
        <v>1614203</v>
      </c>
      <c r="F22" s="20">
        <v>146746</v>
      </c>
      <c r="G22" s="20">
        <v>146746</v>
      </c>
      <c r="H22" s="20">
        <v>146746</v>
      </c>
      <c r="I22" s="20">
        <v>146746</v>
      </c>
      <c r="J22" s="20">
        <v>146746</v>
      </c>
      <c r="K22" s="20">
        <v>146746</v>
      </c>
      <c r="L22" s="20">
        <v>146746</v>
      </c>
      <c r="M22" s="20">
        <v>146746</v>
      </c>
      <c r="N22" s="20">
        <v>146746</v>
      </c>
      <c r="O22" s="20">
        <v>146746</v>
      </c>
      <c r="P22" s="20">
        <v>146743</v>
      </c>
      <c r="Q22" s="20">
        <v>0</v>
      </c>
      <c r="R22" s="16">
        <v>4035510.13</v>
      </c>
      <c r="S22" s="21">
        <f t="shared" si="3"/>
        <v>1614204.0520000001</v>
      </c>
      <c r="T22" s="16">
        <f t="shared" si="6"/>
        <v>146745.82290909093</v>
      </c>
      <c r="U22" s="16">
        <f t="shared" si="4"/>
        <v>1.052000000141561</v>
      </c>
      <c r="V22" s="22">
        <v>1614204.0500000005</v>
      </c>
      <c r="Y22" s="16"/>
      <c r="Z22" s="23">
        <f t="shared" si="1"/>
        <v>1614203</v>
      </c>
      <c r="AA22" s="23">
        <f t="shared" si="5"/>
        <v>0</v>
      </c>
      <c r="AB22" s="16"/>
    </row>
    <row r="23" spans="1:28" s="15" customFormat="1" ht="25.5" hidden="1" x14ac:dyDescent="0.2">
      <c r="A23" s="17">
        <v>15</v>
      </c>
      <c r="B23" s="18">
        <v>1</v>
      </c>
      <c r="C23" s="17" t="s">
        <v>42</v>
      </c>
      <c r="D23" s="19" t="s">
        <v>43</v>
      </c>
      <c r="E23" s="20">
        <f t="shared" si="2"/>
        <v>309326</v>
      </c>
      <c r="F23" s="20">
        <f>28120*3</f>
        <v>84360</v>
      </c>
      <c r="G23" s="20">
        <v>0</v>
      </c>
      <c r="H23" s="20">
        <v>0</v>
      </c>
      <c r="I23" s="20">
        <v>0</v>
      </c>
      <c r="J23" s="20">
        <f>28120*2</f>
        <v>56240</v>
      </c>
      <c r="K23" s="20">
        <f>28120*2</f>
        <v>56240</v>
      </c>
      <c r="L23" s="20">
        <v>0</v>
      </c>
      <c r="M23" s="20">
        <f>28120*2</f>
        <v>56240</v>
      </c>
      <c r="N23" s="20">
        <f>28120*2+6</f>
        <v>56246</v>
      </c>
      <c r="O23" s="20">
        <v>0</v>
      </c>
      <c r="P23" s="20">
        <v>0</v>
      </c>
      <c r="Q23" s="20">
        <v>0</v>
      </c>
      <c r="R23" s="16">
        <f>(6392902.03)+654686.54</f>
        <v>7047588.5700000003</v>
      </c>
      <c r="S23" s="21">
        <f>986073.788+349855.16-727701.79-298901</f>
        <v>309326.15799999982</v>
      </c>
      <c r="T23" s="16">
        <f t="shared" si="6"/>
        <v>28120.559818181802</v>
      </c>
      <c r="U23" s="16">
        <f t="shared" si="4"/>
        <v>0.15799999982118607</v>
      </c>
      <c r="V23" s="22">
        <v>608227.16</v>
      </c>
      <c r="Y23" s="16"/>
      <c r="Z23" s="23">
        <f t="shared" si="1"/>
        <v>309326</v>
      </c>
      <c r="AA23" s="23">
        <f t="shared" si="5"/>
        <v>0</v>
      </c>
      <c r="AB23" s="16"/>
    </row>
    <row r="24" spans="1:28" s="15" customFormat="1" ht="25.5" hidden="1" x14ac:dyDescent="0.2">
      <c r="A24" s="17">
        <v>15</v>
      </c>
      <c r="B24" s="18">
        <v>1</v>
      </c>
      <c r="C24" s="17" t="s">
        <v>44</v>
      </c>
      <c r="D24" s="19" t="s">
        <v>45</v>
      </c>
      <c r="E24" s="20">
        <f t="shared" si="2"/>
        <v>119972</v>
      </c>
      <c r="F24" s="20">
        <f>10906*3</f>
        <v>32718</v>
      </c>
      <c r="G24" s="20">
        <v>0</v>
      </c>
      <c r="H24" s="20">
        <v>0</v>
      </c>
      <c r="I24" s="20">
        <v>10906</v>
      </c>
      <c r="J24" s="20">
        <v>10906</v>
      </c>
      <c r="K24" s="20">
        <v>10906</v>
      </c>
      <c r="L24" s="20">
        <v>10906</v>
      </c>
      <c r="M24" s="20">
        <v>10906</v>
      </c>
      <c r="N24" s="20">
        <v>10906</v>
      </c>
      <c r="O24" s="20">
        <v>10906</v>
      </c>
      <c r="P24" s="20">
        <v>10912</v>
      </c>
      <c r="Q24" s="20">
        <v>0</v>
      </c>
      <c r="R24" s="16">
        <v>1799930.15</v>
      </c>
      <c r="S24" s="21">
        <f>+(R24*0.4)-600000</f>
        <v>119972.06000000006</v>
      </c>
      <c r="T24" s="16">
        <f t="shared" si="6"/>
        <v>10906.550909090915</v>
      </c>
      <c r="U24" s="16">
        <f t="shared" si="4"/>
        <v>6.0000000055879354E-2</v>
      </c>
      <c r="V24" s="22">
        <v>719972.05999999994</v>
      </c>
      <c r="Y24" s="16"/>
      <c r="Z24" s="23">
        <f t="shared" si="1"/>
        <v>119972</v>
      </c>
      <c r="AA24" s="23">
        <f t="shared" si="5"/>
        <v>0</v>
      </c>
      <c r="AB24" s="16"/>
    </row>
    <row r="25" spans="1:28" s="15" customFormat="1" ht="25.5" hidden="1" x14ac:dyDescent="0.2">
      <c r="A25" s="17">
        <v>15</v>
      </c>
      <c r="B25" s="18">
        <v>1</v>
      </c>
      <c r="C25" s="17" t="s">
        <v>46</v>
      </c>
      <c r="D25" s="19" t="s">
        <v>47</v>
      </c>
      <c r="E25" s="20">
        <f t="shared" si="2"/>
        <v>107950</v>
      </c>
      <c r="F25" s="20">
        <f>9814*3</f>
        <v>29442</v>
      </c>
      <c r="G25" s="20">
        <v>0</v>
      </c>
      <c r="H25" s="20">
        <v>0</v>
      </c>
      <c r="I25" s="20">
        <v>9814</v>
      </c>
      <c r="J25" s="20">
        <v>9814</v>
      </c>
      <c r="K25" s="20">
        <v>9814</v>
      </c>
      <c r="L25" s="20">
        <v>9814</v>
      </c>
      <c r="M25" s="20">
        <v>9814</v>
      </c>
      <c r="N25" s="20">
        <v>9814</v>
      </c>
      <c r="O25" s="20">
        <v>9814</v>
      </c>
      <c r="P25" s="20">
        <v>9810</v>
      </c>
      <c r="Q25" s="20">
        <v>0</v>
      </c>
      <c r="R25" s="16">
        <v>269873.39</v>
      </c>
      <c r="S25" s="21">
        <f t="shared" ref="S25:S26" si="7">+R25*0.4</f>
        <v>107949.35600000001</v>
      </c>
      <c r="T25" s="16">
        <f t="shared" si="6"/>
        <v>9813.5778181818187</v>
      </c>
      <c r="U25" s="16">
        <f t="shared" si="4"/>
        <v>-0.64399999998568092</v>
      </c>
      <c r="V25" s="22">
        <v>107949.35</v>
      </c>
      <c r="Y25" s="16"/>
      <c r="Z25" s="23">
        <f t="shared" si="1"/>
        <v>107950</v>
      </c>
      <c r="AA25" s="23">
        <f t="shared" si="5"/>
        <v>0</v>
      </c>
      <c r="AB25" s="16"/>
    </row>
    <row r="26" spans="1:28" s="15" customFormat="1" ht="25.5" hidden="1" x14ac:dyDescent="0.2">
      <c r="A26" s="17">
        <v>15</v>
      </c>
      <c r="B26" s="18">
        <v>1</v>
      </c>
      <c r="C26" s="17" t="s">
        <v>48</v>
      </c>
      <c r="D26" s="19" t="s">
        <v>49</v>
      </c>
      <c r="E26" s="20">
        <f t="shared" si="2"/>
        <v>180036</v>
      </c>
      <c r="F26" s="20">
        <f>16367*3</f>
        <v>49101</v>
      </c>
      <c r="G26" s="20">
        <v>0</v>
      </c>
      <c r="H26" s="20">
        <v>0</v>
      </c>
      <c r="I26" s="20">
        <v>16367</v>
      </c>
      <c r="J26" s="20">
        <v>16367</v>
      </c>
      <c r="K26" s="20">
        <v>16367</v>
      </c>
      <c r="L26" s="20">
        <v>16367</v>
      </c>
      <c r="M26" s="20">
        <v>16367</v>
      </c>
      <c r="N26" s="20">
        <v>16367</v>
      </c>
      <c r="O26" s="20">
        <v>16367</v>
      </c>
      <c r="P26" s="20">
        <v>16366</v>
      </c>
      <c r="Q26" s="20">
        <v>0</v>
      </c>
      <c r="R26" s="16">
        <v>450089.4</v>
      </c>
      <c r="S26" s="21">
        <f t="shared" si="7"/>
        <v>180035.76</v>
      </c>
      <c r="T26" s="16">
        <f t="shared" si="6"/>
        <v>16366.887272727274</v>
      </c>
      <c r="U26" s="16">
        <f t="shared" si="4"/>
        <v>-0.23999999999068677</v>
      </c>
      <c r="V26" s="22">
        <v>180035.76</v>
      </c>
      <c r="Y26" s="16"/>
      <c r="Z26" s="23">
        <f t="shared" si="1"/>
        <v>180036</v>
      </c>
      <c r="AA26" s="23">
        <f t="shared" si="5"/>
        <v>0</v>
      </c>
      <c r="AB26" s="16"/>
    </row>
    <row r="27" spans="1:28" s="15" customFormat="1" ht="25.5" hidden="1" x14ac:dyDescent="0.2">
      <c r="A27" s="17">
        <v>15</v>
      </c>
      <c r="B27" s="18">
        <v>1</v>
      </c>
      <c r="C27" s="17" t="s">
        <v>50</v>
      </c>
      <c r="D27" s="19" t="s">
        <v>51</v>
      </c>
      <c r="E27" s="20">
        <f t="shared" si="2"/>
        <v>23817</v>
      </c>
      <c r="F27" s="20">
        <f>2165*3</f>
        <v>6495</v>
      </c>
      <c r="G27" s="20">
        <v>0</v>
      </c>
      <c r="H27" s="20">
        <v>0</v>
      </c>
      <c r="I27" s="20">
        <v>2165</v>
      </c>
      <c r="J27" s="20">
        <v>2165</v>
      </c>
      <c r="K27" s="20">
        <v>2165</v>
      </c>
      <c r="L27" s="20">
        <v>2165</v>
      </c>
      <c r="M27" s="20">
        <v>2165</v>
      </c>
      <c r="N27" s="20">
        <v>2165</v>
      </c>
      <c r="O27" s="20">
        <v>2165</v>
      </c>
      <c r="P27" s="20">
        <v>2167</v>
      </c>
      <c r="Q27" s="20">
        <v>0</v>
      </c>
      <c r="R27" s="16">
        <v>184541.67</v>
      </c>
      <c r="S27" s="21">
        <f>+R27*0.4-50000</f>
        <v>23816.668000000005</v>
      </c>
      <c r="T27" s="16">
        <f t="shared" si="6"/>
        <v>2165.151636363637</v>
      </c>
      <c r="U27" s="16">
        <f t="shared" si="4"/>
        <v>-0.33199999999487773</v>
      </c>
      <c r="V27" s="22">
        <v>73816.669999999984</v>
      </c>
      <c r="Y27" s="16"/>
      <c r="Z27" s="23">
        <f t="shared" si="1"/>
        <v>23817</v>
      </c>
      <c r="AA27" s="23">
        <f t="shared" si="5"/>
        <v>0</v>
      </c>
      <c r="AB27" s="16"/>
    </row>
    <row r="28" spans="1:28" s="15" customFormat="1" ht="25.5" hidden="1" x14ac:dyDescent="0.2">
      <c r="A28" s="17">
        <v>15</v>
      </c>
      <c r="B28" s="18">
        <v>1</v>
      </c>
      <c r="C28" s="17" t="s">
        <v>52</v>
      </c>
      <c r="D28" s="19" t="s">
        <v>53</v>
      </c>
      <c r="E28" s="20">
        <f t="shared" si="2"/>
        <v>20583</v>
      </c>
      <c r="F28" s="20">
        <f>1871*3</f>
        <v>5613</v>
      </c>
      <c r="G28" s="20">
        <v>0</v>
      </c>
      <c r="H28" s="20">
        <v>0</v>
      </c>
      <c r="I28" s="20">
        <v>0</v>
      </c>
      <c r="J28" s="20">
        <f>1871*2</f>
        <v>3742</v>
      </c>
      <c r="K28" s="20">
        <f>1871*2</f>
        <v>3742</v>
      </c>
      <c r="L28" s="20">
        <v>0</v>
      </c>
      <c r="M28" s="20">
        <f>1871*2</f>
        <v>3742</v>
      </c>
      <c r="N28" s="20">
        <f>1871*2+2</f>
        <v>3744</v>
      </c>
      <c r="O28" s="20">
        <v>0</v>
      </c>
      <c r="P28" s="20">
        <v>0</v>
      </c>
      <c r="Q28" s="20">
        <v>0</v>
      </c>
      <c r="R28" s="16">
        <v>1051458.33</v>
      </c>
      <c r="S28" s="21">
        <f>+(R28*0.4)-400000</f>
        <v>20583.332000000053</v>
      </c>
      <c r="T28" s="16">
        <f t="shared" si="6"/>
        <v>1871.2120000000048</v>
      </c>
      <c r="U28" s="16">
        <f t="shared" si="4"/>
        <v>0.33200000005308539</v>
      </c>
      <c r="V28" s="22">
        <v>420583.33</v>
      </c>
      <c r="Y28" s="16"/>
      <c r="Z28" s="23">
        <f t="shared" si="1"/>
        <v>20583</v>
      </c>
      <c r="AA28" s="23">
        <f t="shared" si="5"/>
        <v>0</v>
      </c>
      <c r="AB28" s="16"/>
    </row>
    <row r="29" spans="1:28" s="15" customFormat="1" ht="25.5" hidden="1" x14ac:dyDescent="0.2">
      <c r="A29" s="17">
        <v>15</v>
      </c>
      <c r="B29" s="18">
        <v>1</v>
      </c>
      <c r="C29" s="17" t="s">
        <v>54</v>
      </c>
      <c r="D29" s="19" t="s">
        <v>55</v>
      </c>
      <c r="E29" s="20">
        <f t="shared" si="2"/>
        <v>26785</v>
      </c>
      <c r="F29" s="20">
        <f>2435*3</f>
        <v>7305</v>
      </c>
      <c r="G29" s="20">
        <v>0</v>
      </c>
      <c r="H29" s="20">
        <v>0</v>
      </c>
      <c r="I29" s="20">
        <f>2435*3</f>
        <v>7305</v>
      </c>
      <c r="J29" s="20">
        <v>0</v>
      </c>
      <c r="K29" s="20">
        <v>0</v>
      </c>
      <c r="L29" s="20">
        <f>2435*3</f>
        <v>7305</v>
      </c>
      <c r="M29" s="20">
        <v>0</v>
      </c>
      <c r="N29" s="20">
        <f>2435*2</f>
        <v>4870</v>
      </c>
      <c r="O29" s="20">
        <v>0</v>
      </c>
      <c r="P29" s="20">
        <v>0</v>
      </c>
      <c r="Q29" s="20">
        <v>0</v>
      </c>
      <c r="R29" s="16">
        <v>79310</v>
      </c>
      <c r="S29" s="21">
        <f>79310+267474.96-320000</f>
        <v>26784.960000000021</v>
      </c>
      <c r="T29" s="16">
        <f t="shared" si="6"/>
        <v>2434.9963636363655</v>
      </c>
      <c r="U29" s="16">
        <f t="shared" si="4"/>
        <v>-3.9999999979045242E-2</v>
      </c>
      <c r="V29" s="22">
        <v>346784.96</v>
      </c>
      <c r="Y29" s="16"/>
      <c r="Z29" s="23">
        <f t="shared" si="1"/>
        <v>26785</v>
      </c>
      <c r="AA29" s="23">
        <f t="shared" si="5"/>
        <v>0</v>
      </c>
      <c r="AB29" s="16"/>
    </row>
    <row r="30" spans="1:28" s="15" customFormat="1" ht="25.5" hidden="1" x14ac:dyDescent="0.2">
      <c r="A30" s="17">
        <v>15</v>
      </c>
      <c r="B30" s="18">
        <v>1</v>
      </c>
      <c r="C30" s="17" t="s">
        <v>56</v>
      </c>
      <c r="D30" s="19" t="s">
        <v>57</v>
      </c>
      <c r="E30" s="20">
        <f t="shared" si="2"/>
        <v>20001</v>
      </c>
      <c r="F30" s="20">
        <f>1818*3</f>
        <v>5454</v>
      </c>
      <c r="G30" s="20">
        <v>0</v>
      </c>
      <c r="H30" s="20">
        <v>0</v>
      </c>
      <c r="I30" s="20">
        <f>1818*3</f>
        <v>5454</v>
      </c>
      <c r="J30" s="20">
        <v>0</v>
      </c>
      <c r="K30" s="20">
        <v>0</v>
      </c>
      <c r="L30" s="20">
        <f>1818*3</f>
        <v>5454</v>
      </c>
      <c r="M30" s="20">
        <v>0</v>
      </c>
      <c r="N30" s="20">
        <f>1818*2+3</f>
        <v>3639</v>
      </c>
      <c r="O30" s="20">
        <v>0</v>
      </c>
      <c r="P30" s="20">
        <v>0</v>
      </c>
      <c r="Q30" s="20">
        <v>0</v>
      </c>
      <c r="R30" s="16">
        <v>161882.64000000001</v>
      </c>
      <c r="S30" s="21">
        <f>161882.64+381117.94-523000</f>
        <v>20000.580000000075</v>
      </c>
      <c r="T30" s="16">
        <f t="shared" si="6"/>
        <v>1818.2345454545523</v>
      </c>
      <c r="U30" s="16">
        <f t="shared" si="4"/>
        <v>-0.41999999992549419</v>
      </c>
      <c r="V30" s="22">
        <v>543000.57999999996</v>
      </c>
      <c r="W30" s="15">
        <f>+V30-14716.61-29433.03</f>
        <v>498850.93999999994</v>
      </c>
      <c r="Y30" s="16"/>
      <c r="Z30" s="23">
        <f t="shared" si="1"/>
        <v>20001</v>
      </c>
      <c r="AA30" s="23">
        <f t="shared" si="5"/>
        <v>0</v>
      </c>
      <c r="AB30" s="16"/>
    </row>
    <row r="31" spans="1:28" s="15" customFormat="1" ht="25.5" hidden="1" x14ac:dyDescent="0.2">
      <c r="A31" s="17">
        <v>15</v>
      </c>
      <c r="B31" s="18">
        <v>1</v>
      </c>
      <c r="C31" s="17" t="s">
        <v>58</v>
      </c>
      <c r="D31" s="19" t="s">
        <v>59</v>
      </c>
      <c r="E31" s="20">
        <f t="shared" si="2"/>
        <v>100922</v>
      </c>
      <c r="F31" s="20">
        <f>9175*3</f>
        <v>27525</v>
      </c>
      <c r="G31" s="20">
        <v>0</v>
      </c>
      <c r="H31" s="20">
        <v>0</v>
      </c>
      <c r="I31" s="20">
        <v>18993</v>
      </c>
      <c r="J31" s="20">
        <v>0</v>
      </c>
      <c r="K31" s="20">
        <v>0</v>
      </c>
      <c r="L31" s="20">
        <v>18993</v>
      </c>
      <c r="M31" s="20">
        <v>0</v>
      </c>
      <c r="N31" s="20">
        <v>18993</v>
      </c>
      <c r="O31" s="20">
        <v>0</v>
      </c>
      <c r="P31" s="20">
        <f>18992.9-2575+0.1</f>
        <v>16418</v>
      </c>
      <c r="Q31" s="20">
        <v>0</v>
      </c>
      <c r="R31" s="16">
        <v>208922</v>
      </c>
      <c r="S31" s="21">
        <f>208922-108000</f>
        <v>100922</v>
      </c>
      <c r="T31" s="16">
        <f t="shared" si="6"/>
        <v>9174.7272727272721</v>
      </c>
      <c r="U31" s="16">
        <f t="shared" si="4"/>
        <v>0</v>
      </c>
      <c r="V31" s="22">
        <v>208922</v>
      </c>
      <c r="Y31" s="16"/>
      <c r="Z31" s="23">
        <f t="shared" si="1"/>
        <v>100922</v>
      </c>
      <c r="AA31" s="23">
        <f t="shared" si="5"/>
        <v>0</v>
      </c>
      <c r="AB31" s="16"/>
    </row>
    <row r="32" spans="1:28" s="25" customFormat="1" ht="12.75" hidden="1" customHeight="1" x14ac:dyDescent="0.2">
      <c r="A32" s="17">
        <v>15</v>
      </c>
      <c r="B32" s="18">
        <v>1</v>
      </c>
      <c r="C32" s="17" t="s">
        <v>60</v>
      </c>
      <c r="D32" s="19" t="s">
        <v>61</v>
      </c>
      <c r="E32" s="20">
        <f t="shared" si="2"/>
        <v>188447</v>
      </c>
      <c r="F32" s="20">
        <f>(17131*2)+48044</f>
        <v>82306</v>
      </c>
      <c r="G32" s="20">
        <f>80767.91-48043.78-0.13</f>
        <v>32724.000000000004</v>
      </c>
      <c r="H32" s="20">
        <v>0</v>
      </c>
      <c r="I32" s="20">
        <f>80768-7351</f>
        <v>73417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16">
        <v>888447</v>
      </c>
      <c r="S32" s="21">
        <f>888447-700000</f>
        <v>188447</v>
      </c>
      <c r="T32" s="16">
        <f t="shared" si="6"/>
        <v>17131.545454545456</v>
      </c>
      <c r="U32" s="16">
        <f t="shared" si="4"/>
        <v>0</v>
      </c>
      <c r="V32" s="24">
        <v>888447.00000000023</v>
      </c>
      <c r="Y32" s="26"/>
      <c r="Z32" s="23">
        <f t="shared" si="1"/>
        <v>188447</v>
      </c>
      <c r="AA32" s="23">
        <f t="shared" si="5"/>
        <v>0</v>
      </c>
      <c r="AB32" s="26"/>
    </row>
    <row r="33" spans="1:29" s="15" customFormat="1" ht="25.5" hidden="1" x14ac:dyDescent="0.2">
      <c r="A33" s="17">
        <v>15</v>
      </c>
      <c r="B33" s="18">
        <v>1</v>
      </c>
      <c r="C33" s="17" t="s">
        <v>62</v>
      </c>
      <c r="D33" s="19" t="s">
        <v>63</v>
      </c>
      <c r="E33" s="20">
        <f t="shared" si="2"/>
        <v>239890</v>
      </c>
      <c r="F33" s="20">
        <v>21808</v>
      </c>
      <c r="G33" s="20">
        <v>21808</v>
      </c>
      <c r="H33" s="20">
        <v>21808</v>
      </c>
      <c r="I33" s="20">
        <v>21808</v>
      </c>
      <c r="J33" s="20">
        <v>21808</v>
      </c>
      <c r="K33" s="20">
        <v>21808</v>
      </c>
      <c r="L33" s="20">
        <v>21808</v>
      </c>
      <c r="M33" s="20">
        <v>21808</v>
      </c>
      <c r="N33" s="20">
        <v>21808</v>
      </c>
      <c r="O33" s="20">
        <v>21808</v>
      </c>
      <c r="P33" s="20">
        <v>21810</v>
      </c>
      <c r="Q33" s="20">
        <v>0</v>
      </c>
      <c r="R33" s="27">
        <v>599725.74</v>
      </c>
      <c r="S33" s="21">
        <f>+R33*0.4</f>
        <v>239890.296</v>
      </c>
      <c r="T33" s="27">
        <f t="shared" si="6"/>
        <v>21808.208727272726</v>
      </c>
      <c r="U33" s="16">
        <f t="shared" si="4"/>
        <v>0.29600000000209548</v>
      </c>
      <c r="V33" s="28">
        <v>239890.28999999995</v>
      </c>
      <c r="Y33" s="16"/>
      <c r="Z33" s="23">
        <f t="shared" si="1"/>
        <v>239890</v>
      </c>
      <c r="AA33" s="23">
        <f t="shared" si="5"/>
        <v>0</v>
      </c>
      <c r="AB33" s="16"/>
    </row>
    <row r="34" spans="1:29" s="15" customFormat="1" ht="12.75" hidden="1" x14ac:dyDescent="0.2">
      <c r="A34" s="63" t="s">
        <v>64</v>
      </c>
      <c r="B34" s="64"/>
      <c r="C34" s="64"/>
      <c r="D34" s="65"/>
      <c r="E34" s="30">
        <f t="shared" ref="E34:U34" si="8">SUM(E13:E33)</f>
        <v>23993811</v>
      </c>
      <c r="F34" s="30">
        <f t="shared" si="8"/>
        <v>2170287</v>
      </c>
      <c r="G34" s="30">
        <f t="shared" si="8"/>
        <v>1834265</v>
      </c>
      <c r="H34" s="30">
        <f t="shared" si="8"/>
        <v>1784691</v>
      </c>
      <c r="I34" s="30">
        <f t="shared" si="8"/>
        <v>1967538</v>
      </c>
      <c r="J34" s="30">
        <f t="shared" si="8"/>
        <v>1900775</v>
      </c>
      <c r="K34" s="30">
        <f t="shared" si="8"/>
        <v>1900775</v>
      </c>
      <c r="L34" s="30">
        <f t="shared" si="8"/>
        <v>1894121</v>
      </c>
      <c r="M34" s="30">
        <f t="shared" si="8"/>
        <v>1900775</v>
      </c>
      <c r="N34" s="30">
        <f t="shared" si="8"/>
        <v>1928285</v>
      </c>
      <c r="O34" s="30">
        <f t="shared" si="8"/>
        <v>1855176</v>
      </c>
      <c r="P34" s="30">
        <f t="shared" si="8"/>
        <v>4857123</v>
      </c>
      <c r="Q34" s="30">
        <f t="shared" si="8"/>
        <v>0</v>
      </c>
      <c r="R34" s="16">
        <f t="shared" si="8"/>
        <v>61684450.920000009</v>
      </c>
      <c r="S34" s="16">
        <f t="shared" si="8"/>
        <v>23993810.502</v>
      </c>
      <c r="T34" s="16">
        <f t="shared" si="8"/>
        <v>2079029.3310909092</v>
      </c>
      <c r="U34" s="16">
        <f t="shared" si="8"/>
        <v>-0.49799999907554593</v>
      </c>
      <c r="V34" s="31">
        <f>SUM(V13:V33)</f>
        <v>23993810.869999997</v>
      </c>
      <c r="Y34" s="16"/>
      <c r="Z34" s="23">
        <f t="shared" si="1"/>
        <v>23993811</v>
      </c>
      <c r="AA34" s="23">
        <f t="shared" si="5"/>
        <v>0</v>
      </c>
      <c r="AB34" s="16"/>
    </row>
    <row r="35" spans="1:29" s="15" customFormat="1" ht="12.75" hidden="1" x14ac:dyDescent="0.2">
      <c r="A35" s="32"/>
      <c r="B35" s="32"/>
      <c r="C35" s="32"/>
      <c r="D35" s="33"/>
      <c r="E35" s="34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16"/>
      <c r="S35" s="16">
        <v>23993810.859999999</v>
      </c>
      <c r="T35" s="16"/>
      <c r="U35" s="16"/>
      <c r="Y35" s="16"/>
      <c r="Z35" s="23">
        <f t="shared" si="1"/>
        <v>0</v>
      </c>
      <c r="AA35" s="23">
        <f t="shared" si="5"/>
        <v>0</v>
      </c>
      <c r="AB35" s="16"/>
    </row>
    <row r="36" spans="1:29" s="15" customFormat="1" ht="12.75" x14ac:dyDescent="0.2">
      <c r="A36" s="66" t="s">
        <v>65</v>
      </c>
      <c r="B36" s="67"/>
      <c r="C36" s="67"/>
      <c r="D36" s="67"/>
      <c r="E36" s="68"/>
      <c r="F36" s="36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8"/>
      <c r="S36" s="16">
        <f>+S35-S34</f>
        <v>0.35799999907612801</v>
      </c>
      <c r="T36" s="16"/>
      <c r="U36" s="16"/>
      <c r="Y36" s="16"/>
      <c r="Z36" s="23">
        <f t="shared" si="1"/>
        <v>0</v>
      </c>
      <c r="AA36" s="23">
        <f t="shared" si="5"/>
        <v>0</v>
      </c>
      <c r="AB36" s="16"/>
    </row>
    <row r="37" spans="1:29" s="15" customFormat="1" ht="38.25" x14ac:dyDescent="0.2">
      <c r="A37" s="39">
        <v>15</v>
      </c>
      <c r="B37" s="40">
        <v>1</v>
      </c>
      <c r="C37" s="39" t="s">
        <v>66</v>
      </c>
      <c r="D37" s="41" t="s">
        <v>67</v>
      </c>
      <c r="E37" s="42">
        <f>+'[1]DESGLOSE PART 2111'!E111</f>
        <v>244622</v>
      </c>
      <c r="F37" s="42">
        <v>0</v>
      </c>
      <c r="G37" s="42">
        <v>0</v>
      </c>
      <c r="H37" s="42">
        <v>116870</v>
      </c>
      <c r="I37" s="42">
        <v>0</v>
      </c>
      <c r="J37" s="42">
        <v>116870</v>
      </c>
      <c r="K37" s="42">
        <f>146777-135895</f>
        <v>10882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16">
        <f>SUM(F37:Q37)</f>
        <v>244622</v>
      </c>
      <c r="S37" s="16">
        <f>+R37-E37</f>
        <v>0</v>
      </c>
      <c r="T37" s="16"/>
      <c r="U37" s="16"/>
      <c r="Y37" s="16">
        <v>204622</v>
      </c>
      <c r="Z37" s="23">
        <f t="shared" si="1"/>
        <v>244622</v>
      </c>
      <c r="AA37" s="23"/>
      <c r="AB37" s="16">
        <v>204622</v>
      </c>
      <c r="AC37" s="23">
        <f>+E37-AB37</f>
        <v>40000</v>
      </c>
    </row>
    <row r="38" spans="1:29" s="25" customFormat="1" ht="25.5" x14ac:dyDescent="0.2">
      <c r="A38" s="17">
        <v>15</v>
      </c>
      <c r="B38" s="18">
        <v>1</v>
      </c>
      <c r="C38" s="17" t="s">
        <v>68</v>
      </c>
      <c r="D38" s="19" t="s">
        <v>69</v>
      </c>
      <c r="E38" s="20">
        <f>+'[1]DESGLOSE PART 2121'!E24</f>
        <v>59047</v>
      </c>
      <c r="F38" s="20">
        <v>0</v>
      </c>
      <c r="G38" s="20">
        <v>0</v>
      </c>
      <c r="H38" s="20">
        <f>80974-40353</f>
        <v>40621</v>
      </c>
      <c r="I38" s="20">
        <v>0</v>
      </c>
      <c r="J38" s="20">
        <v>0</v>
      </c>
      <c r="K38" s="20">
        <v>18426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  <c r="Q38" s="20">
        <v>0</v>
      </c>
      <c r="R38" s="16">
        <f t="shared" ref="R38:R58" si="9">SUM(F38:Q38)</f>
        <v>59047</v>
      </c>
      <c r="S38" s="16">
        <f t="shared" ref="S38:S58" si="10">+R38-E38</f>
        <v>0</v>
      </c>
      <c r="T38" s="26"/>
      <c r="U38" s="26"/>
      <c r="Y38" s="26"/>
      <c r="Z38" s="23">
        <f t="shared" si="1"/>
        <v>59047</v>
      </c>
      <c r="AA38" s="23">
        <f t="shared" si="5"/>
        <v>0</v>
      </c>
      <c r="AB38" s="26"/>
      <c r="AC38" s="23">
        <f t="shared" ref="AC38:AC58" si="11">+E38-AB38</f>
        <v>59047</v>
      </c>
    </row>
    <row r="39" spans="1:29" s="15" customFormat="1" ht="63.75" x14ac:dyDescent="0.2">
      <c r="A39" s="39">
        <v>15</v>
      </c>
      <c r="B39" s="40">
        <v>1</v>
      </c>
      <c r="C39" s="39" t="s">
        <v>70</v>
      </c>
      <c r="D39" s="41" t="s">
        <v>71</v>
      </c>
      <c r="E39" s="42">
        <f>+'[1]DESGLOSE PART 2141'!E61</f>
        <v>283319</v>
      </c>
      <c r="F39" s="42">
        <v>0</v>
      </c>
      <c r="G39" s="42">
        <v>0</v>
      </c>
      <c r="H39" s="42">
        <f>250000-113381</f>
        <v>136619</v>
      </c>
      <c r="I39" s="42">
        <v>0</v>
      </c>
      <c r="J39" s="42">
        <v>0</v>
      </c>
      <c r="K39" s="42">
        <f>155242-8542</f>
        <v>146700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16">
        <f t="shared" si="9"/>
        <v>283319</v>
      </c>
      <c r="S39" s="16">
        <f t="shared" si="10"/>
        <v>0</v>
      </c>
      <c r="T39" s="27"/>
      <c r="U39" s="27"/>
      <c r="Y39" s="16">
        <v>233319</v>
      </c>
      <c r="Z39" s="23">
        <f t="shared" si="1"/>
        <v>283319</v>
      </c>
      <c r="AA39" s="23">
        <f t="shared" si="5"/>
        <v>0</v>
      </c>
      <c r="AB39" s="16">
        <f>+E39-50000</f>
        <v>233319</v>
      </c>
      <c r="AC39" s="23">
        <f t="shared" si="11"/>
        <v>50000</v>
      </c>
    </row>
    <row r="40" spans="1:29" s="15" customFormat="1" ht="25.5" x14ac:dyDescent="0.2">
      <c r="A40" s="17">
        <v>15</v>
      </c>
      <c r="B40" s="18">
        <v>1</v>
      </c>
      <c r="C40" s="17" t="s">
        <v>72</v>
      </c>
      <c r="D40" s="19" t="s">
        <v>73</v>
      </c>
      <c r="E40" s="20">
        <f>+'[1]DESGLOSE PART 2151'!E22</f>
        <v>58900</v>
      </c>
      <c r="F40" s="20">
        <v>0</v>
      </c>
      <c r="G40" s="20">
        <v>0</v>
      </c>
      <c r="H40" s="20">
        <f>44200+6907</f>
        <v>51107</v>
      </c>
      <c r="I40" s="20">
        <v>0</v>
      </c>
      <c r="J40" s="20">
        <v>0</v>
      </c>
      <c r="K40" s="20">
        <v>7793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16">
        <f t="shared" si="9"/>
        <v>58900</v>
      </c>
      <c r="S40" s="16">
        <f t="shared" si="10"/>
        <v>0</v>
      </c>
      <c r="T40" s="27"/>
      <c r="U40" s="27"/>
      <c r="Y40" s="16"/>
      <c r="Z40" s="23">
        <f t="shared" si="1"/>
        <v>58900</v>
      </c>
      <c r="AA40" s="23">
        <f t="shared" si="5"/>
        <v>0</v>
      </c>
      <c r="AB40" s="16"/>
      <c r="AC40" s="23">
        <f t="shared" si="11"/>
        <v>58900</v>
      </c>
    </row>
    <row r="41" spans="1:29" s="15" customFormat="1" ht="26.25" customHeight="1" x14ac:dyDescent="0.2">
      <c r="A41" s="39">
        <v>15</v>
      </c>
      <c r="B41" s="40">
        <v>1</v>
      </c>
      <c r="C41" s="39" t="s">
        <v>74</v>
      </c>
      <c r="D41" s="41" t="s">
        <v>75</v>
      </c>
      <c r="E41" s="42">
        <f>+'[1]DESGLOSE PART 2161'!E41</f>
        <v>80858</v>
      </c>
      <c r="F41" s="42">
        <v>0</v>
      </c>
      <c r="G41" s="42">
        <v>0</v>
      </c>
      <c r="H41" s="42">
        <f>70000-5787</f>
        <v>64213</v>
      </c>
      <c r="I41" s="42">
        <v>0</v>
      </c>
      <c r="J41" s="42">
        <v>0</v>
      </c>
      <c r="K41" s="42">
        <f>35960-19315</f>
        <v>16645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2">
        <v>0</v>
      </c>
      <c r="R41" s="16">
        <f t="shared" si="9"/>
        <v>80858</v>
      </c>
      <c r="S41" s="16">
        <f t="shared" si="10"/>
        <v>0</v>
      </c>
      <c r="T41" s="16"/>
      <c r="U41" s="16"/>
      <c r="Y41" s="16">
        <v>70858</v>
      </c>
      <c r="Z41" s="23">
        <f t="shared" si="1"/>
        <v>80858</v>
      </c>
      <c r="AA41" s="23">
        <f t="shared" si="5"/>
        <v>0</v>
      </c>
      <c r="AB41" s="16">
        <v>70858</v>
      </c>
      <c r="AC41" s="23">
        <f t="shared" si="11"/>
        <v>10000</v>
      </c>
    </row>
    <row r="42" spans="1:29" s="15" customFormat="1" ht="25.5" x14ac:dyDescent="0.2">
      <c r="A42" s="17">
        <v>15</v>
      </c>
      <c r="B42" s="18">
        <v>1</v>
      </c>
      <c r="C42" s="17" t="s">
        <v>76</v>
      </c>
      <c r="D42" s="19" t="s">
        <v>77</v>
      </c>
      <c r="E42" s="20">
        <f>+'[1]DESGLOSE PART 2171'!E22</f>
        <v>21280</v>
      </c>
      <c r="F42" s="20">
        <v>12330</v>
      </c>
      <c r="G42" s="20">
        <v>0</v>
      </c>
      <c r="H42" s="20">
        <v>0</v>
      </c>
      <c r="I42" s="20">
        <v>8950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16">
        <f t="shared" si="9"/>
        <v>21280</v>
      </c>
      <c r="S42" s="16">
        <f t="shared" si="10"/>
        <v>0</v>
      </c>
      <c r="T42" s="16"/>
      <c r="U42" s="16"/>
      <c r="Y42" s="16"/>
      <c r="Z42" s="23">
        <f t="shared" si="1"/>
        <v>21280</v>
      </c>
      <c r="AA42" s="23">
        <f t="shared" si="5"/>
        <v>0</v>
      </c>
      <c r="AB42" s="16"/>
      <c r="AC42" s="23">
        <f t="shared" si="11"/>
        <v>21280</v>
      </c>
    </row>
    <row r="43" spans="1:29" s="15" customFormat="1" ht="25.5" x14ac:dyDescent="0.2">
      <c r="A43" s="39">
        <v>15</v>
      </c>
      <c r="B43" s="40">
        <v>1</v>
      </c>
      <c r="C43" s="39" t="s">
        <v>78</v>
      </c>
      <c r="D43" s="41" t="s">
        <v>79</v>
      </c>
      <c r="E43" s="42">
        <f>+'[1]DESGLOSE PART 2211'!E26</f>
        <v>98130</v>
      </c>
      <c r="F43" s="42">
        <v>0</v>
      </c>
      <c r="G43" s="42">
        <f>50000+8130</f>
        <v>58130</v>
      </c>
      <c r="H43" s="42">
        <v>0</v>
      </c>
      <c r="I43" s="42">
        <v>0</v>
      </c>
      <c r="J43" s="42">
        <f>38601+1399</f>
        <v>40000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2">
        <v>0</v>
      </c>
      <c r="R43" s="16">
        <f t="shared" si="9"/>
        <v>98130</v>
      </c>
      <c r="S43" s="16">
        <f t="shared" si="10"/>
        <v>0</v>
      </c>
      <c r="T43" s="16"/>
      <c r="U43" s="16"/>
      <c r="Y43" s="16">
        <v>78130</v>
      </c>
      <c r="Z43" s="23">
        <f t="shared" si="1"/>
        <v>98130</v>
      </c>
      <c r="AA43" s="23">
        <f t="shared" si="5"/>
        <v>0</v>
      </c>
      <c r="AB43" s="16"/>
      <c r="AC43" s="23">
        <f t="shared" si="11"/>
        <v>98130</v>
      </c>
    </row>
    <row r="44" spans="1:29" s="15" customFormat="1" ht="25.5" x14ac:dyDescent="0.2">
      <c r="A44" s="17">
        <v>15</v>
      </c>
      <c r="B44" s="18">
        <v>1</v>
      </c>
      <c r="C44" s="17" t="s">
        <v>80</v>
      </c>
      <c r="D44" s="19" t="s">
        <v>81</v>
      </c>
      <c r="E44" s="20">
        <f>+'[1]DESGLOSE PART 2441'!E22</f>
        <v>11000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11000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16">
        <f t="shared" si="9"/>
        <v>11000</v>
      </c>
      <c r="S44" s="16">
        <f t="shared" si="10"/>
        <v>0</v>
      </c>
      <c r="T44" s="16"/>
      <c r="U44" s="16"/>
      <c r="Y44" s="16"/>
      <c r="Z44" s="23">
        <f t="shared" si="1"/>
        <v>11000</v>
      </c>
      <c r="AA44" s="23">
        <f t="shared" si="5"/>
        <v>0</v>
      </c>
      <c r="AB44" s="16"/>
      <c r="AC44" s="23">
        <f t="shared" si="11"/>
        <v>11000</v>
      </c>
    </row>
    <row r="45" spans="1:29" s="15" customFormat="1" ht="25.5" x14ac:dyDescent="0.2">
      <c r="A45" s="17">
        <v>15</v>
      </c>
      <c r="B45" s="18">
        <v>1</v>
      </c>
      <c r="C45" s="17" t="s">
        <v>82</v>
      </c>
      <c r="D45" s="19" t="s">
        <v>83</v>
      </c>
      <c r="E45" s="20">
        <f>+'[1]DESGLOSE PART 2461'!E34</f>
        <v>38600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38600</v>
      </c>
      <c r="M45" s="20">
        <v>0</v>
      </c>
      <c r="N45" s="20">
        <v>0</v>
      </c>
      <c r="O45" s="20">
        <v>0</v>
      </c>
      <c r="P45" s="20">
        <v>0</v>
      </c>
      <c r="Q45" s="20">
        <v>0</v>
      </c>
      <c r="R45" s="16">
        <f t="shared" si="9"/>
        <v>38600</v>
      </c>
      <c r="S45" s="16">
        <f t="shared" si="10"/>
        <v>0</v>
      </c>
      <c r="T45" s="16"/>
      <c r="U45" s="16"/>
      <c r="Y45" s="16"/>
      <c r="Z45" s="23">
        <f t="shared" ref="Z45:Z77" si="12">SUM(F45:Q45)</f>
        <v>38600</v>
      </c>
      <c r="AA45" s="23">
        <f t="shared" si="5"/>
        <v>0</v>
      </c>
      <c r="AB45" s="16"/>
      <c r="AC45" s="23">
        <f t="shared" si="11"/>
        <v>38600</v>
      </c>
    </row>
    <row r="46" spans="1:29" s="15" customFormat="1" ht="30.75" customHeight="1" x14ac:dyDescent="0.2">
      <c r="A46" s="17">
        <v>15</v>
      </c>
      <c r="B46" s="18">
        <v>1</v>
      </c>
      <c r="C46" s="17" t="s">
        <v>84</v>
      </c>
      <c r="D46" s="19" t="s">
        <v>85</v>
      </c>
      <c r="E46" s="20">
        <f>+'[1]DESGLOSE PART 2471'!E51</f>
        <v>12879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12879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16">
        <f t="shared" si="9"/>
        <v>12879</v>
      </c>
      <c r="S46" s="16">
        <f t="shared" si="10"/>
        <v>0</v>
      </c>
      <c r="T46" s="16"/>
      <c r="U46" s="16"/>
      <c r="Y46" s="16"/>
      <c r="Z46" s="23">
        <f t="shared" si="12"/>
        <v>12879</v>
      </c>
      <c r="AA46" s="23">
        <f t="shared" si="5"/>
        <v>0</v>
      </c>
      <c r="AB46" s="16"/>
      <c r="AC46" s="23">
        <f t="shared" si="11"/>
        <v>12879</v>
      </c>
    </row>
    <row r="47" spans="1:29" s="15" customFormat="1" ht="30.75" customHeight="1" x14ac:dyDescent="0.2">
      <c r="A47" s="17">
        <v>15</v>
      </c>
      <c r="B47" s="18">
        <v>1</v>
      </c>
      <c r="C47" s="17">
        <v>2481</v>
      </c>
      <c r="D47" s="19" t="s">
        <v>86</v>
      </c>
      <c r="E47" s="20">
        <f>+'[1]DESGLOSE PART 2481'!E25</f>
        <v>10500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10500</v>
      </c>
      <c r="M47" s="20">
        <v>0</v>
      </c>
      <c r="N47" s="20">
        <v>0</v>
      </c>
      <c r="O47" s="20">
        <v>0</v>
      </c>
      <c r="P47" s="20">
        <v>0</v>
      </c>
      <c r="Q47" s="20">
        <v>0</v>
      </c>
      <c r="R47" s="16"/>
      <c r="S47" s="16"/>
      <c r="T47" s="16"/>
      <c r="U47" s="16"/>
      <c r="Y47" s="16"/>
      <c r="Z47" s="23">
        <f t="shared" si="12"/>
        <v>10500</v>
      </c>
      <c r="AA47" s="23">
        <f t="shared" si="5"/>
        <v>0</v>
      </c>
      <c r="AB47" s="16"/>
      <c r="AC47" s="23">
        <f t="shared" si="11"/>
        <v>10500</v>
      </c>
    </row>
    <row r="48" spans="1:29" s="15" customFormat="1" ht="38.25" x14ac:dyDescent="0.2">
      <c r="A48" s="17">
        <v>15</v>
      </c>
      <c r="B48" s="18">
        <v>1</v>
      </c>
      <c r="C48" s="17" t="s">
        <v>87</v>
      </c>
      <c r="D48" s="19" t="s">
        <v>88</v>
      </c>
      <c r="E48" s="20">
        <f>+'[1]DESGLOSE PART 2491'!E24</f>
        <v>12400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12400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16">
        <f t="shared" si="9"/>
        <v>12400</v>
      </c>
      <c r="S48" s="16">
        <f t="shared" si="10"/>
        <v>0</v>
      </c>
      <c r="T48" s="16"/>
      <c r="U48" s="16"/>
      <c r="Y48" s="16"/>
      <c r="Z48" s="23">
        <f t="shared" si="12"/>
        <v>12400</v>
      </c>
      <c r="AA48" s="23">
        <f t="shared" si="5"/>
        <v>0</v>
      </c>
      <c r="AB48" s="16"/>
      <c r="AC48" s="23">
        <f t="shared" si="11"/>
        <v>12400</v>
      </c>
    </row>
    <row r="49" spans="1:30" s="25" customFormat="1" ht="25.5" x14ac:dyDescent="0.2">
      <c r="A49" s="17">
        <v>15</v>
      </c>
      <c r="B49" s="18">
        <v>1</v>
      </c>
      <c r="C49" s="17" t="s">
        <v>89</v>
      </c>
      <c r="D49" s="19" t="s">
        <v>90</v>
      </c>
      <c r="E49" s="20">
        <f>+'[1]DESGLOSE PART 2531'!E25</f>
        <v>15939</v>
      </c>
      <c r="F49" s="20">
        <v>3939</v>
      </c>
      <c r="G49" s="20">
        <v>0</v>
      </c>
      <c r="H49" s="20">
        <v>12000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0</v>
      </c>
      <c r="O49" s="20">
        <v>0</v>
      </c>
      <c r="P49" s="20">
        <v>0</v>
      </c>
      <c r="Q49" s="20">
        <v>0</v>
      </c>
      <c r="R49" s="16">
        <f t="shared" si="9"/>
        <v>15939</v>
      </c>
      <c r="S49" s="16">
        <f t="shared" si="10"/>
        <v>0</v>
      </c>
      <c r="T49" s="26"/>
      <c r="U49" s="26"/>
      <c r="Y49" s="26"/>
      <c r="Z49" s="23">
        <f t="shared" si="12"/>
        <v>15939</v>
      </c>
      <c r="AA49" s="23">
        <f t="shared" si="5"/>
        <v>0</v>
      </c>
      <c r="AB49" s="26"/>
      <c r="AC49" s="23">
        <f t="shared" si="11"/>
        <v>15939</v>
      </c>
    </row>
    <row r="50" spans="1:30" s="15" customFormat="1" ht="25.5" x14ac:dyDescent="0.2">
      <c r="A50" s="17">
        <v>15</v>
      </c>
      <c r="B50" s="18">
        <v>1</v>
      </c>
      <c r="C50" s="17" t="s">
        <v>91</v>
      </c>
      <c r="D50" s="19" t="s">
        <v>92</v>
      </c>
      <c r="E50" s="20">
        <f>+'[1]DESGLOSE PART 2541'!E27</f>
        <v>13325</v>
      </c>
      <c r="F50" s="20">
        <v>10825</v>
      </c>
      <c r="G50" s="20">
        <v>0</v>
      </c>
      <c r="H50" s="20">
        <v>2500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16">
        <f t="shared" si="9"/>
        <v>13325</v>
      </c>
      <c r="S50" s="16">
        <f t="shared" si="10"/>
        <v>0</v>
      </c>
      <c r="T50" s="16"/>
      <c r="U50" s="16"/>
      <c r="Y50" s="16"/>
      <c r="Z50" s="23">
        <f t="shared" si="12"/>
        <v>13325</v>
      </c>
      <c r="AA50" s="23">
        <f t="shared" si="5"/>
        <v>0</v>
      </c>
      <c r="AB50" s="16"/>
      <c r="AC50" s="23">
        <f t="shared" si="11"/>
        <v>13325</v>
      </c>
      <c r="AD50" s="15">
        <f>5*12</f>
        <v>60</v>
      </c>
    </row>
    <row r="51" spans="1:30" s="15" customFormat="1" ht="25.5" x14ac:dyDescent="0.2">
      <c r="A51" s="39">
        <v>15</v>
      </c>
      <c r="B51" s="40">
        <v>1</v>
      </c>
      <c r="C51" s="39" t="s">
        <v>93</v>
      </c>
      <c r="D51" s="41" t="s">
        <v>94</v>
      </c>
      <c r="E51" s="42">
        <f>+'[1]DESGLOSE PART 2611'!E21</f>
        <v>220290</v>
      </c>
      <c r="F51" s="42">
        <v>20026</v>
      </c>
      <c r="G51" s="42">
        <v>20026</v>
      </c>
      <c r="H51" s="42">
        <v>20026</v>
      </c>
      <c r="I51" s="42">
        <v>20026</v>
      </c>
      <c r="J51" s="42">
        <v>20026</v>
      </c>
      <c r="K51" s="42">
        <v>20026</v>
      </c>
      <c r="L51" s="42">
        <v>20026</v>
      </c>
      <c r="M51" s="42">
        <v>20026</v>
      </c>
      <c r="N51" s="42">
        <v>20026</v>
      </c>
      <c r="O51" s="42">
        <v>20026</v>
      </c>
      <c r="P51" s="42">
        <v>20030</v>
      </c>
      <c r="Q51" s="42">
        <v>0</v>
      </c>
      <c r="R51" s="16">
        <f t="shared" si="9"/>
        <v>220290</v>
      </c>
      <c r="S51" s="16">
        <f t="shared" si="10"/>
        <v>0</v>
      </c>
      <c r="T51" s="16"/>
      <c r="U51" s="16"/>
      <c r="Y51" s="16">
        <v>198000</v>
      </c>
      <c r="Z51" s="23">
        <f t="shared" si="12"/>
        <v>220290</v>
      </c>
      <c r="AA51" s="23">
        <f t="shared" si="5"/>
        <v>0</v>
      </c>
      <c r="AB51" s="16">
        <f>16500*12</f>
        <v>198000</v>
      </c>
      <c r="AC51" s="23">
        <f t="shared" si="11"/>
        <v>22290</v>
      </c>
    </row>
    <row r="52" spans="1:30" s="15" customFormat="1" ht="25.5" x14ac:dyDescent="0.2">
      <c r="A52" s="17">
        <v>15</v>
      </c>
      <c r="B52" s="18">
        <v>1</v>
      </c>
      <c r="C52" s="17" t="s">
        <v>95</v>
      </c>
      <c r="D52" s="19" t="s">
        <v>96</v>
      </c>
      <c r="E52" s="20">
        <f>+'[1]DESGLOSE PART 2721'!E21</f>
        <v>9890</v>
      </c>
      <c r="F52" s="20">
        <v>0</v>
      </c>
      <c r="G52" s="20">
        <v>0</v>
      </c>
      <c r="H52" s="20">
        <v>0</v>
      </c>
      <c r="I52" s="20">
        <v>5840</v>
      </c>
      <c r="J52" s="20">
        <v>4050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16">
        <f t="shared" si="9"/>
        <v>9890</v>
      </c>
      <c r="S52" s="16">
        <f t="shared" si="10"/>
        <v>0</v>
      </c>
      <c r="T52" s="16"/>
      <c r="U52" s="16"/>
      <c r="Y52" s="16"/>
      <c r="Z52" s="23">
        <f t="shared" si="12"/>
        <v>9890</v>
      </c>
      <c r="AA52" s="23">
        <f t="shared" si="5"/>
        <v>0</v>
      </c>
      <c r="AB52" s="16"/>
      <c r="AC52" s="23">
        <f t="shared" si="11"/>
        <v>9890</v>
      </c>
    </row>
    <row r="53" spans="1:30" s="15" customFormat="1" ht="25.5" x14ac:dyDescent="0.2">
      <c r="A53" s="17">
        <v>15</v>
      </c>
      <c r="B53" s="18">
        <v>1</v>
      </c>
      <c r="C53" s="17" t="s">
        <v>97</v>
      </c>
      <c r="D53" s="19" t="s">
        <v>98</v>
      </c>
      <c r="E53" s="20">
        <f>+'[1]DESGLOSE PART 2921'!E23</f>
        <v>10880</v>
      </c>
      <c r="F53" s="20">
        <v>0</v>
      </c>
      <c r="G53" s="20">
        <v>0</v>
      </c>
      <c r="H53" s="20">
        <v>0</v>
      </c>
      <c r="I53" s="20">
        <v>10880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16">
        <f t="shared" si="9"/>
        <v>10880</v>
      </c>
      <c r="S53" s="16">
        <f t="shared" si="10"/>
        <v>0</v>
      </c>
      <c r="T53" s="16"/>
      <c r="U53" s="16"/>
      <c r="Y53" s="16"/>
      <c r="Z53" s="23">
        <f t="shared" si="12"/>
        <v>10880</v>
      </c>
      <c r="AA53" s="23">
        <f t="shared" si="5"/>
        <v>0</v>
      </c>
      <c r="AB53" s="16"/>
      <c r="AC53" s="23">
        <f t="shared" si="11"/>
        <v>10880</v>
      </c>
    </row>
    <row r="54" spans="1:30" s="15" customFormat="1" ht="38.25" x14ac:dyDescent="0.2">
      <c r="A54" s="39">
        <v>15</v>
      </c>
      <c r="B54" s="40">
        <v>1</v>
      </c>
      <c r="C54" s="39" t="s">
        <v>99</v>
      </c>
      <c r="D54" s="41" t="s">
        <v>100</v>
      </c>
      <c r="E54" s="42">
        <f>+'[1]DESGLOSE PART 2961'!E23</f>
        <v>88440</v>
      </c>
      <c r="F54" s="42">
        <v>38440</v>
      </c>
      <c r="G54" s="42">
        <v>0</v>
      </c>
      <c r="H54" s="42">
        <v>0</v>
      </c>
      <c r="I54" s="42">
        <v>25000</v>
      </c>
      <c r="J54" s="42">
        <v>0</v>
      </c>
      <c r="K54" s="42">
        <v>0</v>
      </c>
      <c r="L54" s="42">
        <v>0</v>
      </c>
      <c r="M54" s="42">
        <v>0</v>
      </c>
      <c r="N54" s="42">
        <v>0</v>
      </c>
      <c r="O54" s="42">
        <v>25000</v>
      </c>
      <c r="P54" s="42">
        <v>0</v>
      </c>
      <c r="Q54" s="42">
        <v>0</v>
      </c>
      <c r="R54" s="16">
        <f t="shared" si="9"/>
        <v>88440</v>
      </c>
      <c r="S54" s="16">
        <f t="shared" si="10"/>
        <v>0</v>
      </c>
      <c r="T54" s="16"/>
      <c r="U54" s="16"/>
      <c r="Y54" s="16">
        <v>88440</v>
      </c>
      <c r="Z54" s="23">
        <f t="shared" si="12"/>
        <v>88440</v>
      </c>
      <c r="AA54" s="23">
        <f t="shared" si="5"/>
        <v>0</v>
      </c>
      <c r="AB54" s="16"/>
      <c r="AC54" s="23">
        <f t="shared" si="11"/>
        <v>88440</v>
      </c>
    </row>
    <row r="55" spans="1:30" s="15" customFormat="1" ht="38.25" hidden="1" x14ac:dyDescent="0.2">
      <c r="A55" s="17">
        <v>14</v>
      </c>
      <c r="B55" s="18" t="s">
        <v>101</v>
      </c>
      <c r="C55" s="17" t="s">
        <v>66</v>
      </c>
      <c r="D55" s="19" t="s">
        <v>67</v>
      </c>
      <c r="E55" s="20">
        <f>+'[1]DESGLOSE PART 2111-714-JU'!E21</f>
        <v>27737</v>
      </c>
      <c r="F55" s="20">
        <v>27737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16">
        <f t="shared" si="9"/>
        <v>27737</v>
      </c>
      <c r="S55" s="16">
        <f t="shared" si="10"/>
        <v>0</v>
      </c>
      <c r="T55" s="16"/>
      <c r="U55" s="16"/>
      <c r="Y55" s="16"/>
      <c r="Z55" s="23">
        <f t="shared" si="12"/>
        <v>27737</v>
      </c>
      <c r="AA55" s="23">
        <f t="shared" si="5"/>
        <v>0</v>
      </c>
      <c r="AB55" s="16"/>
      <c r="AC55" s="23">
        <f t="shared" si="11"/>
        <v>27737</v>
      </c>
    </row>
    <row r="56" spans="1:30" s="15" customFormat="1" ht="63.75" hidden="1" x14ac:dyDescent="0.2">
      <c r="A56" s="17">
        <v>14</v>
      </c>
      <c r="B56" s="18" t="s">
        <v>101</v>
      </c>
      <c r="C56" s="17">
        <v>2141</v>
      </c>
      <c r="D56" s="19" t="s">
        <v>102</v>
      </c>
      <c r="E56" s="20">
        <f>+'[1]DESGLOSE PART  2141-714-JU'!E21</f>
        <v>247013</v>
      </c>
      <c r="F56" s="20">
        <v>9263</v>
      </c>
      <c r="G56" s="20">
        <f>86000-5000-4600</f>
        <v>76400</v>
      </c>
      <c r="H56" s="20">
        <f>84900-5000+4600+6150</f>
        <v>90650</v>
      </c>
      <c r="I56" s="20">
        <f>67300-5550</f>
        <v>61750</v>
      </c>
      <c r="J56" s="20">
        <v>0</v>
      </c>
      <c r="K56" s="20">
        <v>8950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16">
        <f t="shared" si="9"/>
        <v>247013</v>
      </c>
      <c r="S56" s="16">
        <f t="shared" si="10"/>
        <v>0</v>
      </c>
      <c r="T56" s="16"/>
      <c r="U56" s="16"/>
      <c r="Y56" s="16"/>
      <c r="Z56" s="23">
        <f t="shared" si="12"/>
        <v>247013</v>
      </c>
      <c r="AA56" s="23">
        <f t="shared" si="5"/>
        <v>0</v>
      </c>
      <c r="AB56" s="16"/>
      <c r="AC56" s="23">
        <f t="shared" si="11"/>
        <v>247013</v>
      </c>
    </row>
    <row r="57" spans="1:30" s="15" customFormat="1" ht="12.75" hidden="1" customHeight="1" x14ac:dyDescent="0.2">
      <c r="A57" s="17">
        <v>14</v>
      </c>
      <c r="B57" s="18" t="s">
        <v>101</v>
      </c>
      <c r="C57" s="17">
        <v>2161</v>
      </c>
      <c r="D57" s="19" t="str">
        <f>+D41</f>
        <v>Material de Limpieza</v>
      </c>
      <c r="E57" s="20">
        <f>+'[1]DESGLOSE PART2161-714-JU'!E35</f>
        <v>106300</v>
      </c>
      <c r="F57" s="20">
        <v>0</v>
      </c>
      <c r="G57" s="20">
        <v>0</v>
      </c>
      <c r="H57" s="20">
        <v>0</v>
      </c>
      <c r="I57" s="20">
        <f>103700-67300</f>
        <v>36400</v>
      </c>
      <c r="J57" s="20">
        <f>106300-36400</f>
        <v>69900</v>
      </c>
      <c r="K57" s="20">
        <v>0</v>
      </c>
      <c r="L57" s="20">
        <v>0</v>
      </c>
      <c r="M57" s="20">
        <v>0</v>
      </c>
      <c r="N57" s="20">
        <v>0</v>
      </c>
      <c r="O57" s="20">
        <v>0</v>
      </c>
      <c r="P57" s="20">
        <v>0</v>
      </c>
      <c r="Q57" s="20">
        <v>0</v>
      </c>
      <c r="R57" s="16">
        <f t="shared" si="9"/>
        <v>106300</v>
      </c>
      <c r="S57" s="16">
        <f t="shared" si="10"/>
        <v>0</v>
      </c>
      <c r="T57" s="16"/>
      <c r="U57" s="16"/>
      <c r="Y57" s="16"/>
      <c r="Z57" s="23">
        <f t="shared" si="12"/>
        <v>106300</v>
      </c>
      <c r="AA57" s="23">
        <f t="shared" si="5"/>
        <v>0</v>
      </c>
      <c r="AB57" s="16"/>
      <c r="AC57" s="23">
        <f t="shared" si="11"/>
        <v>106300</v>
      </c>
    </row>
    <row r="58" spans="1:30" s="15" customFormat="1" ht="25.5" hidden="1" x14ac:dyDescent="0.2">
      <c r="A58" s="17">
        <v>14</v>
      </c>
      <c r="B58" s="18" t="s">
        <v>101</v>
      </c>
      <c r="C58" s="17">
        <v>2211</v>
      </c>
      <c r="D58" s="19" t="str">
        <f>+D43</f>
        <v>Productos Alimenticios para Personas</v>
      </c>
      <c r="E58" s="20">
        <f>+'[1]DESGLOSE PART  2211-714-JU'!E28</f>
        <v>300000</v>
      </c>
      <c r="F58" s="20">
        <v>0</v>
      </c>
      <c r="G58" s="20">
        <v>0</v>
      </c>
      <c r="H58" s="20">
        <v>0</v>
      </c>
      <c r="I58" s="20">
        <v>0</v>
      </c>
      <c r="J58" s="20">
        <f>101250-69900-250</f>
        <v>31100</v>
      </c>
      <c r="K58" s="20">
        <f>106200-8950-11800</f>
        <v>85450</v>
      </c>
      <c r="L58" s="20">
        <f>108400-40900</f>
        <v>67500</v>
      </c>
      <c r="M58" s="20">
        <f>54050+56800</f>
        <v>110850</v>
      </c>
      <c r="N58" s="20">
        <v>5100</v>
      </c>
      <c r="O58" s="20">
        <v>0</v>
      </c>
      <c r="P58" s="20">
        <v>0</v>
      </c>
      <c r="Q58" s="20">
        <v>0</v>
      </c>
      <c r="R58" s="16">
        <f t="shared" si="9"/>
        <v>300000</v>
      </c>
      <c r="S58" s="16">
        <f t="shared" si="10"/>
        <v>0</v>
      </c>
      <c r="T58" s="16"/>
      <c r="U58" s="16"/>
      <c r="Y58" s="16"/>
      <c r="Z58" s="23">
        <f t="shared" si="12"/>
        <v>300000</v>
      </c>
      <c r="AA58" s="23">
        <f t="shared" si="5"/>
        <v>0</v>
      </c>
      <c r="AB58" s="16"/>
      <c r="AC58" s="23">
        <f t="shared" si="11"/>
        <v>300000</v>
      </c>
    </row>
    <row r="59" spans="1:30" s="15" customFormat="1" ht="12.75" customHeight="1" x14ac:dyDescent="0.2">
      <c r="A59" s="63" t="s">
        <v>103</v>
      </c>
      <c r="B59" s="64"/>
      <c r="C59" s="64"/>
      <c r="D59" s="65"/>
      <c r="E59" s="43">
        <f>SUM(E37:E54)</f>
        <v>1290299</v>
      </c>
      <c r="F59" s="43">
        <f t="shared" ref="F59:Q59" si="13">SUM(F37:F54)</f>
        <v>85560</v>
      </c>
      <c r="G59" s="43">
        <f t="shared" si="13"/>
        <v>78156</v>
      </c>
      <c r="H59" s="43">
        <f t="shared" si="13"/>
        <v>443956</v>
      </c>
      <c r="I59" s="43">
        <f t="shared" si="13"/>
        <v>70696</v>
      </c>
      <c r="J59" s="43">
        <f t="shared" si="13"/>
        <v>180946</v>
      </c>
      <c r="K59" s="43">
        <f t="shared" si="13"/>
        <v>231472</v>
      </c>
      <c r="L59" s="43">
        <f t="shared" si="13"/>
        <v>94405</v>
      </c>
      <c r="M59" s="43">
        <f t="shared" si="13"/>
        <v>20026</v>
      </c>
      <c r="N59" s="43">
        <f t="shared" si="13"/>
        <v>20026</v>
      </c>
      <c r="O59" s="43">
        <f t="shared" si="13"/>
        <v>45026</v>
      </c>
      <c r="P59" s="43">
        <f t="shared" si="13"/>
        <v>20030</v>
      </c>
      <c r="Q59" s="43">
        <f t="shared" si="13"/>
        <v>0</v>
      </c>
      <c r="R59" s="16"/>
      <c r="S59" s="16"/>
      <c r="T59" s="16"/>
      <c r="U59" s="16"/>
      <c r="Y59" s="16"/>
      <c r="Z59" s="23">
        <f t="shared" si="12"/>
        <v>1290299</v>
      </c>
      <c r="AA59" s="23">
        <f t="shared" si="5"/>
        <v>0</v>
      </c>
      <c r="AB59" s="16"/>
    </row>
    <row r="60" spans="1:30" s="47" customFormat="1" x14ac:dyDescent="0.2">
      <c r="A60" s="44"/>
      <c r="B60" s="44"/>
      <c r="C60" s="44"/>
      <c r="D60" s="4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46"/>
      <c r="S60" s="46"/>
      <c r="T60" s="46"/>
      <c r="U60" s="46"/>
      <c r="Y60" s="46"/>
      <c r="Z60" s="23">
        <f t="shared" si="12"/>
        <v>0</v>
      </c>
      <c r="AA60" s="23">
        <f t="shared" si="5"/>
        <v>0</v>
      </c>
      <c r="AB60" s="46"/>
    </row>
    <row r="61" spans="1:30" s="47" customFormat="1" x14ac:dyDescent="0.2">
      <c r="A61" s="66" t="s">
        <v>104</v>
      </c>
      <c r="B61" s="67"/>
      <c r="C61" s="67"/>
      <c r="D61" s="67"/>
      <c r="E61" s="68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46"/>
      <c r="S61" s="46"/>
      <c r="T61" s="46"/>
      <c r="U61" s="46"/>
      <c r="Y61" s="46"/>
      <c r="Z61" s="23">
        <f t="shared" si="12"/>
        <v>0</v>
      </c>
      <c r="AA61" s="23">
        <f t="shared" si="5"/>
        <v>0</v>
      </c>
      <c r="AB61" s="46"/>
    </row>
    <row r="62" spans="1:30" s="47" customFormat="1" x14ac:dyDescent="0.2">
      <c r="A62" s="17">
        <v>15</v>
      </c>
      <c r="B62" s="18">
        <v>1</v>
      </c>
      <c r="C62" s="17" t="s">
        <v>105</v>
      </c>
      <c r="D62" s="48" t="s">
        <v>106</v>
      </c>
      <c r="E62" s="20">
        <f>+'[1]DESGLOSE PART 3111'!E21</f>
        <v>390000</v>
      </c>
      <c r="F62" s="20">
        <v>70000</v>
      </c>
      <c r="G62" s="20">
        <v>35000</v>
      </c>
      <c r="H62" s="20">
        <v>35000</v>
      </c>
      <c r="I62" s="20">
        <v>70000</v>
      </c>
      <c r="J62" s="20">
        <v>0</v>
      </c>
      <c r="K62" s="20">
        <v>0</v>
      </c>
      <c r="L62" s="20">
        <v>70000</v>
      </c>
      <c r="M62" s="20">
        <v>0</v>
      </c>
      <c r="N62" s="20">
        <v>0</v>
      </c>
      <c r="O62" s="20">
        <v>40000</v>
      </c>
      <c r="P62" s="20">
        <v>70000</v>
      </c>
      <c r="Q62" s="20">
        <v>0</v>
      </c>
      <c r="R62" s="16">
        <f t="shared" ref="R62:R88" si="14">SUM(F62:Q62)</f>
        <v>390000</v>
      </c>
      <c r="S62" s="16">
        <f t="shared" ref="S62:S88" si="15">+R62-E62</f>
        <v>0</v>
      </c>
      <c r="T62" s="46"/>
      <c r="U62" s="46"/>
      <c r="Y62" s="46"/>
      <c r="Z62" s="23">
        <f t="shared" si="12"/>
        <v>390000</v>
      </c>
      <c r="AA62" s="23">
        <f t="shared" si="5"/>
        <v>0</v>
      </c>
      <c r="AB62" s="46"/>
    </row>
    <row r="63" spans="1:30" s="47" customFormat="1" x14ac:dyDescent="0.2">
      <c r="A63" s="17">
        <v>15</v>
      </c>
      <c r="B63" s="18">
        <v>1</v>
      </c>
      <c r="C63" s="17" t="s">
        <v>107</v>
      </c>
      <c r="D63" s="48" t="s">
        <v>108</v>
      </c>
      <c r="E63" s="20">
        <f>+'[1]DESGLOSE PART 3121'!E21</f>
        <v>28000</v>
      </c>
      <c r="F63" s="20">
        <v>2604</v>
      </c>
      <c r="G63" s="20">
        <v>0</v>
      </c>
      <c r="H63" s="20">
        <v>0</v>
      </c>
      <c r="I63" s="20">
        <f>2604-1792</f>
        <v>812</v>
      </c>
      <c r="J63" s="20">
        <v>2604</v>
      </c>
      <c r="K63" s="20">
        <v>2604</v>
      </c>
      <c r="L63" s="20">
        <v>2604</v>
      </c>
      <c r="M63" s="20">
        <v>2604</v>
      </c>
      <c r="N63" s="20">
        <v>2604</v>
      </c>
      <c r="O63" s="20">
        <f>2604+2606</f>
        <v>5210</v>
      </c>
      <c r="P63" s="20">
        <f>2604+3750</f>
        <v>6354</v>
      </c>
      <c r="Q63" s="20">
        <v>0</v>
      </c>
      <c r="R63" s="16">
        <f t="shared" si="14"/>
        <v>28000</v>
      </c>
      <c r="S63" s="16">
        <f t="shared" si="15"/>
        <v>0</v>
      </c>
      <c r="T63" s="46"/>
      <c r="U63" s="46"/>
      <c r="Y63" s="46"/>
      <c r="Z63" s="23">
        <f t="shared" si="12"/>
        <v>28000</v>
      </c>
      <c r="AA63" s="23">
        <f t="shared" si="5"/>
        <v>0</v>
      </c>
      <c r="AB63" s="46"/>
    </row>
    <row r="64" spans="1:30" s="47" customFormat="1" x14ac:dyDescent="0.2">
      <c r="A64" s="17">
        <v>15</v>
      </c>
      <c r="B64" s="18">
        <v>1</v>
      </c>
      <c r="C64" s="17" t="s">
        <v>109</v>
      </c>
      <c r="D64" s="48" t="s">
        <v>110</v>
      </c>
      <c r="E64" s="20">
        <f>+'[1]DESGLOSE PART 3131'!E21</f>
        <v>70400</v>
      </c>
      <c r="F64" s="20">
        <v>15436</v>
      </c>
      <c r="G64" s="20">
        <v>0</v>
      </c>
      <c r="H64" s="20">
        <v>0</v>
      </c>
      <c r="I64" s="20">
        <f>15436-3484</f>
        <v>11952</v>
      </c>
      <c r="J64" s="20">
        <v>0</v>
      </c>
      <c r="K64" s="20">
        <v>0</v>
      </c>
      <c r="L64" s="20">
        <v>15436</v>
      </c>
      <c r="M64" s="20">
        <v>15436</v>
      </c>
      <c r="N64" s="20">
        <v>0</v>
      </c>
      <c r="O64" s="20">
        <v>0</v>
      </c>
      <c r="P64" s="20">
        <v>12140</v>
      </c>
      <c r="Q64" s="20">
        <v>0</v>
      </c>
      <c r="R64" s="16">
        <f t="shared" si="14"/>
        <v>70400</v>
      </c>
      <c r="S64" s="16">
        <f t="shared" si="15"/>
        <v>0</v>
      </c>
      <c r="T64" s="46"/>
      <c r="U64" s="46"/>
      <c r="Y64" s="46"/>
      <c r="Z64" s="23">
        <f t="shared" si="12"/>
        <v>70400</v>
      </c>
      <c r="AA64" s="23">
        <f t="shared" si="5"/>
        <v>0</v>
      </c>
      <c r="AB64" s="46"/>
    </row>
    <row r="65" spans="1:28" s="47" customFormat="1" x14ac:dyDescent="0.2">
      <c r="A65" s="17">
        <v>15</v>
      </c>
      <c r="B65" s="18">
        <v>1</v>
      </c>
      <c r="C65" s="17" t="s">
        <v>111</v>
      </c>
      <c r="D65" s="48" t="s">
        <v>112</v>
      </c>
      <c r="E65" s="20">
        <f>+'[1]DESGLOSE PART 3141'!E21</f>
        <v>186000</v>
      </c>
      <c r="F65" s="20">
        <v>20400</v>
      </c>
      <c r="G65" s="20">
        <v>20400</v>
      </c>
      <c r="H65" s="20">
        <v>20400</v>
      </c>
      <c r="I65" s="20">
        <v>20400</v>
      </c>
      <c r="J65" s="20">
        <v>0</v>
      </c>
      <c r="K65" s="20">
        <v>0</v>
      </c>
      <c r="L65" s="20">
        <v>20400</v>
      </c>
      <c r="M65" s="20">
        <v>0</v>
      </c>
      <c r="N65" s="20">
        <v>0</v>
      </c>
      <c r="O65" s="20">
        <v>38000</v>
      </c>
      <c r="P65" s="20">
        <v>46000</v>
      </c>
      <c r="Q65" s="20">
        <v>0</v>
      </c>
      <c r="R65" s="16">
        <f t="shared" si="14"/>
        <v>186000</v>
      </c>
      <c r="S65" s="16">
        <f t="shared" si="15"/>
        <v>0</v>
      </c>
      <c r="T65" s="46"/>
      <c r="U65" s="46"/>
      <c r="Y65" s="46"/>
      <c r="Z65" s="23">
        <f t="shared" si="12"/>
        <v>186000</v>
      </c>
      <c r="AA65" s="23">
        <f t="shared" si="5"/>
        <v>0</v>
      </c>
      <c r="AB65" s="46"/>
    </row>
    <row r="66" spans="1:28" ht="51" x14ac:dyDescent="0.2">
      <c r="A66" s="17">
        <v>15</v>
      </c>
      <c r="B66" s="18">
        <v>1</v>
      </c>
      <c r="C66" s="17" t="s">
        <v>113</v>
      </c>
      <c r="D66" s="48" t="s">
        <v>114</v>
      </c>
      <c r="E66" s="20">
        <f>+'[1]DESGLOSE PART 3171'!E21</f>
        <v>120000</v>
      </c>
      <c r="F66" s="20">
        <v>19600</v>
      </c>
      <c r="G66" s="20">
        <v>19600</v>
      </c>
      <c r="H66" s="20">
        <v>0</v>
      </c>
      <c r="I66" s="20">
        <v>19600</v>
      </c>
      <c r="J66" s="20">
        <v>0</v>
      </c>
      <c r="K66" s="20">
        <v>0</v>
      </c>
      <c r="L66" s="20">
        <v>19600</v>
      </c>
      <c r="M66" s="20">
        <v>0</v>
      </c>
      <c r="N66" s="20">
        <v>0</v>
      </c>
      <c r="O66" s="20">
        <v>3288</v>
      </c>
      <c r="P66" s="20">
        <v>38312</v>
      </c>
      <c r="Q66" s="20">
        <v>0</v>
      </c>
      <c r="R66" s="16">
        <f t="shared" si="14"/>
        <v>120000</v>
      </c>
      <c r="S66" s="16">
        <f t="shared" si="15"/>
        <v>0</v>
      </c>
      <c r="Z66" s="23">
        <f t="shared" si="12"/>
        <v>120000</v>
      </c>
      <c r="AA66" s="23">
        <f t="shared" si="5"/>
        <v>0</v>
      </c>
    </row>
    <row r="67" spans="1:28" ht="25.5" x14ac:dyDescent="0.2">
      <c r="A67" s="17">
        <v>15</v>
      </c>
      <c r="B67" s="18">
        <v>1</v>
      </c>
      <c r="C67" s="17" t="s">
        <v>115</v>
      </c>
      <c r="D67" s="48" t="s">
        <v>116</v>
      </c>
      <c r="E67" s="20">
        <f>+'[1]DESGLOSE PART 3181'!E21</f>
        <v>10350</v>
      </c>
      <c r="F67" s="20">
        <v>10350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0">
        <v>0</v>
      </c>
      <c r="N67" s="20">
        <v>0</v>
      </c>
      <c r="O67" s="20">
        <v>0</v>
      </c>
      <c r="P67" s="20">
        <v>0</v>
      </c>
      <c r="Q67" s="20">
        <v>0</v>
      </c>
      <c r="R67" s="16">
        <f t="shared" si="14"/>
        <v>10350</v>
      </c>
      <c r="S67" s="16">
        <f t="shared" si="15"/>
        <v>0</v>
      </c>
      <c r="Z67" s="23">
        <f t="shared" si="12"/>
        <v>10350</v>
      </c>
      <c r="AA67" s="23">
        <f t="shared" si="5"/>
        <v>0</v>
      </c>
    </row>
    <row r="68" spans="1:28" x14ac:dyDescent="0.2">
      <c r="A68" s="17">
        <v>15</v>
      </c>
      <c r="B68" s="18">
        <v>1</v>
      </c>
      <c r="C68" s="17" t="s">
        <v>117</v>
      </c>
      <c r="D68" s="48" t="s">
        <v>118</v>
      </c>
      <c r="E68" s="20">
        <f>+'[1]DESGLOSE PART 3291'!E20</f>
        <v>21360</v>
      </c>
      <c r="F68" s="20">
        <f>19155-7500</f>
        <v>11655</v>
      </c>
      <c r="G68" s="20">
        <v>0</v>
      </c>
      <c r="H68" s="20">
        <v>0</v>
      </c>
      <c r="I68" s="20">
        <f>19155-9305-145</f>
        <v>9705</v>
      </c>
      <c r="J68" s="20">
        <v>0</v>
      </c>
      <c r="K68" s="20">
        <v>0</v>
      </c>
      <c r="L68" s="20">
        <v>0</v>
      </c>
      <c r="M68" s="20">
        <v>0</v>
      </c>
      <c r="N68" s="20">
        <v>0</v>
      </c>
      <c r="O68" s="20">
        <v>0</v>
      </c>
      <c r="P68" s="20">
        <v>0</v>
      </c>
      <c r="Q68" s="20">
        <v>0</v>
      </c>
      <c r="R68" s="16">
        <f t="shared" si="14"/>
        <v>21360</v>
      </c>
      <c r="S68" s="16">
        <f t="shared" si="15"/>
        <v>0</v>
      </c>
      <c r="Z68" s="23">
        <f t="shared" si="12"/>
        <v>21360</v>
      </c>
      <c r="AA68" s="23">
        <f t="shared" si="5"/>
        <v>0</v>
      </c>
    </row>
    <row r="69" spans="1:28" ht="38.25" x14ac:dyDescent="0.2">
      <c r="A69" s="17">
        <v>15</v>
      </c>
      <c r="B69" s="18">
        <v>1</v>
      </c>
      <c r="C69" s="17">
        <v>3311</v>
      </c>
      <c r="D69" s="48" t="s">
        <v>119</v>
      </c>
      <c r="E69" s="20">
        <f>+'[1]DESGLOSE PART 3311'!E21</f>
        <v>7500</v>
      </c>
      <c r="F69" s="20">
        <v>7500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0">
        <v>0</v>
      </c>
      <c r="N69" s="20">
        <v>0</v>
      </c>
      <c r="O69" s="20">
        <v>0</v>
      </c>
      <c r="P69" s="20">
        <v>0</v>
      </c>
      <c r="Q69" s="20">
        <v>0</v>
      </c>
      <c r="R69" s="16"/>
      <c r="S69" s="16"/>
      <c r="Z69" s="23">
        <f t="shared" si="12"/>
        <v>7500</v>
      </c>
      <c r="AA69" s="23">
        <f t="shared" si="5"/>
        <v>0</v>
      </c>
    </row>
    <row r="70" spans="1:28" x14ac:dyDescent="0.2">
      <c r="A70" s="17">
        <v>15</v>
      </c>
      <c r="B70" s="18">
        <v>1</v>
      </c>
      <c r="C70" s="17" t="s">
        <v>120</v>
      </c>
      <c r="D70" s="48" t="s">
        <v>121</v>
      </c>
      <c r="E70" s="20">
        <f>+'[1]DESGLOSE PART 3341-88-2G'!E21+'[1]DESGLOSE PART 3341'!E21</f>
        <v>5146865</v>
      </c>
      <c r="F70" s="20">
        <f>652011.12-444216.37+19459.71-0.46</f>
        <v>227254</v>
      </c>
      <c r="G70" s="20">
        <v>0</v>
      </c>
      <c r="H70" s="20">
        <v>0</v>
      </c>
      <c r="I70" s="20">
        <f>1465813.19-888634.03+19459.71+0.13</f>
        <v>596638.99999999988</v>
      </c>
      <c r="J70" s="20">
        <f>299815.63-218164.89+19459.71-0.45</f>
        <v>101109.99999999999</v>
      </c>
      <c r="K70" s="20">
        <f>299815.63-257220.89+19459.71-0.45</f>
        <v>62053.999999999993</v>
      </c>
      <c r="L70" s="20">
        <f>1465813.19-227130.14+19459.71+0.24</f>
        <v>1258142.9999999998</v>
      </c>
      <c r="M70" s="20">
        <f>188035.91-77992.26+19459.71-0.36</f>
        <v>129503.00000000001</v>
      </c>
      <c r="N70" s="20">
        <v>0</v>
      </c>
      <c r="O70" s="20">
        <f>2268893.46+521090.98-37283.53+19459.74+1.35</f>
        <v>2772162.0000000005</v>
      </c>
      <c r="P70" s="20">
        <v>0</v>
      </c>
      <c r="Q70" s="20">
        <v>0</v>
      </c>
      <c r="R70" s="16">
        <f t="shared" si="14"/>
        <v>5146865</v>
      </c>
      <c r="S70" s="16">
        <f t="shared" si="15"/>
        <v>0</v>
      </c>
      <c r="U70" s="4">
        <f>+S70/7</f>
        <v>0</v>
      </c>
      <c r="Z70" s="23">
        <f t="shared" si="12"/>
        <v>5146865</v>
      </c>
      <c r="AA70" s="23">
        <f t="shared" si="5"/>
        <v>0</v>
      </c>
    </row>
    <row r="71" spans="1:28" ht="31.5" customHeight="1" x14ac:dyDescent="0.2">
      <c r="A71" s="39">
        <v>15</v>
      </c>
      <c r="B71" s="40">
        <v>1</v>
      </c>
      <c r="C71" s="39" t="s">
        <v>122</v>
      </c>
      <c r="D71" s="49" t="s">
        <v>123</v>
      </c>
      <c r="E71" s="42">
        <f>+'[1]DESGLOSE PART 3381'!E21</f>
        <v>1371465</v>
      </c>
      <c r="F71" s="42">
        <v>152385</v>
      </c>
      <c r="G71" s="42">
        <v>0</v>
      </c>
      <c r="H71" s="42">
        <v>0</v>
      </c>
      <c r="I71" s="42">
        <v>152385</v>
      </c>
      <c r="J71" s="42">
        <v>152385</v>
      </c>
      <c r="K71" s="42">
        <v>152385</v>
      </c>
      <c r="L71" s="42">
        <v>152385</v>
      </c>
      <c r="M71" s="42">
        <v>152385</v>
      </c>
      <c r="N71" s="42">
        <v>152385</v>
      </c>
      <c r="O71" s="42">
        <v>152385</v>
      </c>
      <c r="P71" s="42">
        <v>152385</v>
      </c>
      <c r="Q71" s="42">
        <v>0</v>
      </c>
      <c r="R71" s="16">
        <f t="shared" si="14"/>
        <v>1371465</v>
      </c>
      <c r="S71" s="16">
        <f t="shared" si="15"/>
        <v>0</v>
      </c>
      <c r="Y71" s="4">
        <v>1371465</v>
      </c>
      <c r="Z71" s="23">
        <f t="shared" si="12"/>
        <v>1371465</v>
      </c>
      <c r="AA71" s="23">
        <f t="shared" si="5"/>
        <v>0</v>
      </c>
    </row>
    <row r="72" spans="1:28" ht="25.5" x14ac:dyDescent="0.2">
      <c r="A72" s="17">
        <v>15</v>
      </c>
      <c r="B72" s="18">
        <v>1</v>
      </c>
      <c r="C72" s="17" t="s">
        <v>124</v>
      </c>
      <c r="D72" s="48" t="s">
        <v>125</v>
      </c>
      <c r="E72" s="20">
        <f>+'[1]DESGLOSE PART 3411'!E21</f>
        <v>24900</v>
      </c>
      <c r="F72" s="20">
        <v>2137</v>
      </c>
      <c r="G72" s="20">
        <v>0</v>
      </c>
      <c r="H72" s="20">
        <v>0</v>
      </c>
      <c r="I72" s="20">
        <v>2137</v>
      </c>
      <c r="J72" s="20">
        <v>2137</v>
      </c>
      <c r="K72" s="20">
        <v>2137</v>
      </c>
      <c r="L72" s="20">
        <v>2137</v>
      </c>
      <c r="M72" s="20">
        <f>2137-744</f>
        <v>1393</v>
      </c>
      <c r="N72" s="20">
        <v>2137</v>
      </c>
      <c r="O72" s="20">
        <f>2137*3</f>
        <v>6411</v>
      </c>
      <c r="P72" s="20">
        <f>2137*2</f>
        <v>4274</v>
      </c>
      <c r="Q72" s="20">
        <v>0</v>
      </c>
      <c r="R72" s="16">
        <f t="shared" si="14"/>
        <v>24900</v>
      </c>
      <c r="S72" s="16">
        <f t="shared" si="15"/>
        <v>0</v>
      </c>
      <c r="Z72" s="23">
        <f t="shared" si="12"/>
        <v>24900</v>
      </c>
      <c r="AA72" s="23">
        <f t="shared" si="5"/>
        <v>0</v>
      </c>
    </row>
    <row r="73" spans="1:28" ht="25.5" x14ac:dyDescent="0.2">
      <c r="A73" s="39">
        <v>15</v>
      </c>
      <c r="B73" s="40">
        <v>1</v>
      </c>
      <c r="C73" s="39" t="s">
        <v>126</v>
      </c>
      <c r="D73" s="49" t="s">
        <v>127</v>
      </c>
      <c r="E73" s="42">
        <f>+'[1]DESGLOSE PART 3451'!E21</f>
        <v>196808.00000000003</v>
      </c>
      <c r="F73" s="42">
        <v>0</v>
      </c>
      <c r="G73" s="42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132500</v>
      </c>
      <c r="P73" s="42">
        <v>64308</v>
      </c>
      <c r="Q73" s="42">
        <v>0</v>
      </c>
      <c r="R73" s="16">
        <f t="shared" si="14"/>
        <v>196808</v>
      </c>
      <c r="S73" s="16">
        <f t="shared" si="15"/>
        <v>0</v>
      </c>
      <c r="Y73" s="4">
        <v>196808</v>
      </c>
      <c r="Z73" s="23">
        <f t="shared" si="12"/>
        <v>196808</v>
      </c>
      <c r="AA73" s="23">
        <f t="shared" si="5"/>
        <v>0</v>
      </c>
    </row>
    <row r="74" spans="1:28" ht="38.25" x14ac:dyDescent="0.2">
      <c r="A74" s="17">
        <v>15</v>
      </c>
      <c r="B74" s="18">
        <v>1</v>
      </c>
      <c r="C74" s="17" t="s">
        <v>128</v>
      </c>
      <c r="D74" s="48" t="s">
        <v>129</v>
      </c>
      <c r="E74" s="20">
        <f>+'[1]DESGLOSE PART 3511'!E20</f>
        <v>35000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20">
        <v>0</v>
      </c>
      <c r="O74" s="20">
        <v>0</v>
      </c>
      <c r="P74" s="20">
        <v>35000</v>
      </c>
      <c r="Q74" s="20">
        <v>0</v>
      </c>
      <c r="R74" s="16">
        <f t="shared" si="14"/>
        <v>35000</v>
      </c>
      <c r="S74" s="16">
        <f t="shared" si="15"/>
        <v>0</v>
      </c>
      <c r="Z74" s="23">
        <f t="shared" si="12"/>
        <v>35000</v>
      </c>
      <c r="AA74" s="23">
        <f t="shared" si="5"/>
        <v>0</v>
      </c>
    </row>
    <row r="75" spans="1:28" ht="63.75" x14ac:dyDescent="0.2">
      <c r="A75" s="17">
        <v>15</v>
      </c>
      <c r="B75" s="18">
        <v>1</v>
      </c>
      <c r="C75" s="17" t="s">
        <v>130</v>
      </c>
      <c r="D75" s="48" t="s">
        <v>131</v>
      </c>
      <c r="E75" s="20">
        <f>+'[1]DESGLOSE PART 3521'!E21</f>
        <v>19800</v>
      </c>
      <c r="F75" s="20">
        <v>0</v>
      </c>
      <c r="G75" s="20">
        <v>0</v>
      </c>
      <c r="H75" s="20">
        <v>0</v>
      </c>
      <c r="I75" s="20">
        <v>6000</v>
      </c>
      <c r="J75" s="20">
        <v>0</v>
      </c>
      <c r="K75" s="20">
        <v>0</v>
      </c>
      <c r="L75" s="20">
        <v>6000</v>
      </c>
      <c r="M75" s="20">
        <v>0</v>
      </c>
      <c r="N75" s="20">
        <v>0</v>
      </c>
      <c r="O75" s="20">
        <v>7800</v>
      </c>
      <c r="P75" s="20">
        <v>0</v>
      </c>
      <c r="Q75" s="20">
        <v>0</v>
      </c>
      <c r="R75" s="16">
        <f t="shared" si="14"/>
        <v>19800</v>
      </c>
      <c r="S75" s="16">
        <f t="shared" si="15"/>
        <v>0</v>
      </c>
      <c r="Z75" s="23">
        <f t="shared" si="12"/>
        <v>19800</v>
      </c>
      <c r="AA75" s="23">
        <f t="shared" si="5"/>
        <v>0</v>
      </c>
    </row>
    <row r="76" spans="1:28" ht="38.25" x14ac:dyDescent="0.2">
      <c r="A76" s="39">
        <v>15</v>
      </c>
      <c r="B76" s="40">
        <v>1</v>
      </c>
      <c r="C76" s="39" t="s">
        <v>132</v>
      </c>
      <c r="D76" s="49" t="s">
        <v>133</v>
      </c>
      <c r="E76" s="42">
        <f>+'[1]DESGLOSE PART 3551 '!E21</f>
        <v>98600</v>
      </c>
      <c r="F76" s="42">
        <v>0</v>
      </c>
      <c r="G76" s="42">
        <v>0</v>
      </c>
      <c r="H76" s="42">
        <v>0</v>
      </c>
      <c r="I76" s="42">
        <v>37500</v>
      </c>
      <c r="J76" s="42">
        <v>0</v>
      </c>
      <c r="K76" s="42">
        <v>0</v>
      </c>
      <c r="L76" s="42">
        <v>38600</v>
      </c>
      <c r="M76" s="42">
        <v>0</v>
      </c>
      <c r="N76" s="42">
        <v>0</v>
      </c>
      <c r="O76" s="42">
        <v>22500</v>
      </c>
      <c r="P76" s="42">
        <v>0</v>
      </c>
      <c r="Q76" s="42">
        <v>0</v>
      </c>
      <c r="R76" s="16">
        <f t="shared" si="14"/>
        <v>98600</v>
      </c>
      <c r="S76" s="16">
        <f t="shared" si="15"/>
        <v>0</v>
      </c>
      <c r="Y76" s="4">
        <v>98600</v>
      </c>
      <c r="Z76" s="23">
        <f t="shared" si="12"/>
        <v>98600</v>
      </c>
      <c r="AA76" s="23">
        <f t="shared" si="5"/>
        <v>0</v>
      </c>
    </row>
    <row r="77" spans="1:28" ht="51" x14ac:dyDescent="0.2">
      <c r="A77" s="17">
        <v>15</v>
      </c>
      <c r="B77" s="18">
        <v>1</v>
      </c>
      <c r="C77" s="17" t="s">
        <v>134</v>
      </c>
      <c r="D77" s="48" t="s">
        <v>135</v>
      </c>
      <c r="E77" s="20">
        <f>+'[1]DESGLOSE PART  3571'!E21</f>
        <v>20872</v>
      </c>
      <c r="F77" s="20">
        <v>0</v>
      </c>
      <c r="G77" s="20">
        <v>0</v>
      </c>
      <c r="H77" s="20">
        <v>0</v>
      </c>
      <c r="I77" s="20">
        <v>0</v>
      </c>
      <c r="J77" s="20">
        <f>12500-4128</f>
        <v>8372</v>
      </c>
      <c r="K77" s="20">
        <v>0</v>
      </c>
      <c r="L77" s="20">
        <v>0</v>
      </c>
      <c r="M77" s="20">
        <v>12500</v>
      </c>
      <c r="N77" s="20">
        <v>0</v>
      </c>
      <c r="O77" s="20">
        <v>0</v>
      </c>
      <c r="P77" s="20">
        <v>0</v>
      </c>
      <c r="Q77" s="20">
        <v>0</v>
      </c>
      <c r="R77" s="16">
        <f t="shared" si="14"/>
        <v>20872</v>
      </c>
      <c r="S77" s="16">
        <f t="shared" si="15"/>
        <v>0</v>
      </c>
      <c r="Z77" s="23">
        <f t="shared" si="12"/>
        <v>20872</v>
      </c>
      <c r="AA77" s="23">
        <f t="shared" si="5"/>
        <v>0</v>
      </c>
    </row>
    <row r="78" spans="1:28" ht="25.5" x14ac:dyDescent="0.2">
      <c r="A78" s="17">
        <v>15</v>
      </c>
      <c r="B78" s="18">
        <v>1</v>
      </c>
      <c r="C78" s="17" t="s">
        <v>136</v>
      </c>
      <c r="D78" s="48" t="s">
        <v>137</v>
      </c>
      <c r="E78" s="20">
        <f>+'[1]DESGLOSE PART 3581'!E21</f>
        <v>6800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6800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16">
        <f t="shared" si="14"/>
        <v>6800</v>
      </c>
      <c r="S78" s="16">
        <f t="shared" si="15"/>
        <v>0</v>
      </c>
      <c r="Z78" s="23">
        <f t="shared" ref="Z78:Z101" si="16">SUM(F78:Q78)</f>
        <v>6800</v>
      </c>
      <c r="AA78" s="23">
        <f t="shared" ref="AA78:AA101" si="17">+Z78-E78</f>
        <v>0</v>
      </c>
    </row>
    <row r="79" spans="1:28" ht="63.75" x14ac:dyDescent="0.2">
      <c r="A79" s="17">
        <v>15</v>
      </c>
      <c r="B79" s="18">
        <v>1</v>
      </c>
      <c r="C79" s="17" t="s">
        <v>138</v>
      </c>
      <c r="D79" s="48" t="s">
        <v>139</v>
      </c>
      <c r="E79" s="20">
        <f>+'[1]DESGLOSE PART  3611'!E21</f>
        <v>18800</v>
      </c>
      <c r="F79" s="20">
        <v>18800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0">
        <v>0</v>
      </c>
      <c r="N79" s="20">
        <v>0</v>
      </c>
      <c r="O79" s="20">
        <v>0</v>
      </c>
      <c r="P79" s="20">
        <v>0</v>
      </c>
      <c r="Q79" s="20">
        <v>0</v>
      </c>
      <c r="R79" s="16">
        <f t="shared" si="14"/>
        <v>18800</v>
      </c>
      <c r="S79" s="16">
        <f t="shared" si="15"/>
        <v>0</v>
      </c>
      <c r="Z79" s="23">
        <f t="shared" si="16"/>
        <v>18800</v>
      </c>
      <c r="AA79" s="23">
        <f t="shared" si="17"/>
        <v>0</v>
      </c>
    </row>
    <row r="80" spans="1:28" x14ac:dyDescent="0.2">
      <c r="A80" s="17">
        <v>15</v>
      </c>
      <c r="B80" s="18">
        <v>1</v>
      </c>
      <c r="C80" s="17" t="s">
        <v>140</v>
      </c>
      <c r="D80" s="48" t="s">
        <v>141</v>
      </c>
      <c r="E80" s="20">
        <f>+'[1]DESGLOSE PART 3711'!E21</f>
        <v>90000</v>
      </c>
      <c r="F80" s="20">
        <v>21600</v>
      </c>
      <c r="G80" s="20">
        <v>0</v>
      </c>
      <c r="H80" s="20">
        <v>0</v>
      </c>
      <c r="I80" s="20">
        <v>34200</v>
      </c>
      <c r="J80" s="20">
        <v>0</v>
      </c>
      <c r="K80" s="20">
        <v>0</v>
      </c>
      <c r="L80" s="20">
        <v>0</v>
      </c>
      <c r="M80" s="20">
        <v>0</v>
      </c>
      <c r="N80" s="20">
        <v>0</v>
      </c>
      <c r="O80" s="20">
        <v>34200</v>
      </c>
      <c r="P80" s="20">
        <v>0</v>
      </c>
      <c r="Q80" s="20">
        <v>0</v>
      </c>
      <c r="R80" s="16">
        <f t="shared" si="14"/>
        <v>90000</v>
      </c>
      <c r="S80" s="16">
        <f t="shared" si="15"/>
        <v>0</v>
      </c>
      <c r="Z80" s="23">
        <f t="shared" si="16"/>
        <v>90000</v>
      </c>
      <c r="AA80" s="23">
        <f t="shared" si="17"/>
        <v>0</v>
      </c>
    </row>
    <row r="81" spans="1:27" x14ac:dyDescent="0.2">
      <c r="A81" s="17">
        <v>15</v>
      </c>
      <c r="B81" s="18">
        <v>1</v>
      </c>
      <c r="C81" s="17" t="s">
        <v>142</v>
      </c>
      <c r="D81" s="48" t="s">
        <v>143</v>
      </c>
      <c r="E81" s="20">
        <f>+'[1]DESGLOSE PART  3721'!E21</f>
        <v>9000</v>
      </c>
      <c r="F81" s="20">
        <v>894</v>
      </c>
      <c r="G81" s="20">
        <v>810</v>
      </c>
      <c r="H81" s="20">
        <v>810</v>
      </c>
      <c r="I81" s="20">
        <v>810</v>
      </c>
      <c r="J81" s="20">
        <v>810</v>
      </c>
      <c r="K81" s="20">
        <v>810</v>
      </c>
      <c r="L81" s="20">
        <v>810</v>
      </c>
      <c r="M81" s="20">
        <v>810</v>
      </c>
      <c r="N81" s="20">
        <v>810</v>
      </c>
      <c r="O81" s="20">
        <v>810</v>
      </c>
      <c r="P81" s="20">
        <v>816</v>
      </c>
      <c r="Q81" s="20">
        <v>0</v>
      </c>
      <c r="R81" s="16">
        <f t="shared" si="14"/>
        <v>9000</v>
      </c>
      <c r="S81" s="16">
        <f t="shared" si="15"/>
        <v>0</v>
      </c>
      <c r="Z81" s="23">
        <f t="shared" si="16"/>
        <v>9000</v>
      </c>
      <c r="AA81" s="23">
        <f t="shared" si="17"/>
        <v>0</v>
      </c>
    </row>
    <row r="82" spans="1:27" x14ac:dyDescent="0.2">
      <c r="A82" s="17">
        <v>15</v>
      </c>
      <c r="B82" s="18">
        <v>1</v>
      </c>
      <c r="C82" s="17" t="s">
        <v>144</v>
      </c>
      <c r="D82" s="48" t="s">
        <v>145</v>
      </c>
      <c r="E82" s="20">
        <f>+'[1]DESGLOSE PART  3751'!E21</f>
        <v>105000</v>
      </c>
      <c r="F82" s="20">
        <v>28800</v>
      </c>
      <c r="G82" s="20">
        <v>0</v>
      </c>
      <c r="H82" s="20">
        <v>0</v>
      </c>
      <c r="I82" s="20">
        <v>38100</v>
      </c>
      <c r="J82" s="20">
        <v>0</v>
      </c>
      <c r="K82" s="20">
        <v>0</v>
      </c>
      <c r="L82" s="20">
        <v>0</v>
      </c>
      <c r="M82" s="20">
        <v>0</v>
      </c>
      <c r="N82" s="20">
        <v>0</v>
      </c>
      <c r="O82" s="20">
        <v>38100</v>
      </c>
      <c r="P82" s="20">
        <v>0</v>
      </c>
      <c r="Q82" s="20">
        <v>0</v>
      </c>
      <c r="R82" s="16">
        <f t="shared" si="14"/>
        <v>105000</v>
      </c>
      <c r="S82" s="16">
        <f t="shared" si="15"/>
        <v>0</v>
      </c>
      <c r="Z82" s="23">
        <f t="shared" si="16"/>
        <v>105000</v>
      </c>
      <c r="AA82" s="23">
        <f t="shared" si="17"/>
        <v>0</v>
      </c>
    </row>
    <row r="83" spans="1:27" ht="25.5" x14ac:dyDescent="0.2">
      <c r="A83" s="17">
        <v>15</v>
      </c>
      <c r="B83" s="18">
        <v>1</v>
      </c>
      <c r="C83" s="17" t="s">
        <v>146</v>
      </c>
      <c r="D83" s="48" t="s">
        <v>147</v>
      </c>
      <c r="E83" s="20">
        <f>+'[1]DESGLOSE PART  3821'!E21</f>
        <v>215000</v>
      </c>
      <c r="F83" s="20">
        <v>0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0</v>
      </c>
      <c r="N83" s="20">
        <v>0</v>
      </c>
      <c r="O83" s="20">
        <v>85000</v>
      </c>
      <c r="P83" s="20">
        <v>130000</v>
      </c>
      <c r="Q83" s="20">
        <v>0</v>
      </c>
      <c r="R83" s="16">
        <f t="shared" si="14"/>
        <v>215000</v>
      </c>
      <c r="S83" s="16">
        <f t="shared" si="15"/>
        <v>0</v>
      </c>
      <c r="Z83" s="23">
        <f t="shared" si="16"/>
        <v>215000</v>
      </c>
      <c r="AA83" s="23">
        <f t="shared" si="17"/>
        <v>0</v>
      </c>
    </row>
    <row r="84" spans="1:27" ht="24.75" customHeight="1" x14ac:dyDescent="0.2">
      <c r="A84" s="17">
        <v>15</v>
      </c>
      <c r="B84" s="18">
        <v>1</v>
      </c>
      <c r="C84" s="17" t="s">
        <v>148</v>
      </c>
      <c r="D84" s="48" t="s">
        <v>149</v>
      </c>
      <c r="E84" s="20">
        <f>+'[1]DESGLOSE PART  3831'!E21</f>
        <v>38000</v>
      </c>
      <c r="F84" s="20">
        <v>0</v>
      </c>
      <c r="G84" s="20">
        <v>0</v>
      </c>
      <c r="H84" s="20">
        <v>0</v>
      </c>
      <c r="I84" s="20">
        <v>38000</v>
      </c>
      <c r="J84" s="20">
        <v>0</v>
      </c>
      <c r="K84" s="20">
        <v>0</v>
      </c>
      <c r="L84" s="20">
        <v>0</v>
      </c>
      <c r="M84" s="20">
        <v>0</v>
      </c>
      <c r="N84" s="20">
        <v>0</v>
      </c>
      <c r="O84" s="20">
        <v>0</v>
      </c>
      <c r="P84" s="20">
        <v>0</v>
      </c>
      <c r="Q84" s="20">
        <v>0</v>
      </c>
      <c r="R84" s="16">
        <f t="shared" si="14"/>
        <v>38000</v>
      </c>
      <c r="S84" s="16">
        <f t="shared" si="15"/>
        <v>0</v>
      </c>
      <c r="Z84" s="23">
        <f t="shared" si="16"/>
        <v>38000</v>
      </c>
      <c r="AA84" s="23">
        <f t="shared" si="17"/>
        <v>0</v>
      </c>
    </row>
    <row r="85" spans="1:27" x14ac:dyDescent="0.2">
      <c r="A85" s="17">
        <v>15</v>
      </c>
      <c r="B85" s="18">
        <v>1</v>
      </c>
      <c r="C85" s="17" t="s">
        <v>150</v>
      </c>
      <c r="D85" s="48" t="s">
        <v>151</v>
      </c>
      <c r="E85" s="20">
        <f>+'[1]DESGLOSE PART  3921'!E21+'[1]DESGLOSE PART  3921-88-2G'!E21</f>
        <v>71498</v>
      </c>
      <c r="F85" s="20">
        <v>49960</v>
      </c>
      <c r="G85" s="20">
        <v>0</v>
      </c>
      <c r="H85" s="20">
        <v>0</v>
      </c>
      <c r="I85" s="20">
        <v>0</v>
      </c>
      <c r="J85" s="20">
        <v>0</v>
      </c>
      <c r="K85" s="20">
        <v>0</v>
      </c>
      <c r="L85" s="20">
        <v>0</v>
      </c>
      <c r="M85" s="20">
        <v>0</v>
      </c>
      <c r="N85" s="20">
        <v>0</v>
      </c>
      <c r="O85" s="20">
        <f>5040+16498</f>
        <v>21538</v>
      </c>
      <c r="P85" s="20">
        <v>0</v>
      </c>
      <c r="Q85" s="20">
        <v>0</v>
      </c>
      <c r="R85" s="16">
        <f t="shared" si="14"/>
        <v>71498</v>
      </c>
      <c r="S85" s="16">
        <f t="shared" si="15"/>
        <v>0</v>
      </c>
      <c r="Z85" s="23">
        <f t="shared" si="16"/>
        <v>71498</v>
      </c>
      <c r="AA85" s="23">
        <f t="shared" si="17"/>
        <v>0</v>
      </c>
    </row>
    <row r="86" spans="1:27" ht="38.25" x14ac:dyDescent="0.2">
      <c r="A86" s="17">
        <v>15</v>
      </c>
      <c r="B86" s="18">
        <v>1</v>
      </c>
      <c r="C86" s="17" t="s">
        <v>152</v>
      </c>
      <c r="D86" s="48" t="s">
        <v>153</v>
      </c>
      <c r="E86" s="20">
        <f>+'[1]DESGLOSE PART  3981'!E21</f>
        <v>690000</v>
      </c>
      <c r="F86" s="20">
        <v>120300</v>
      </c>
      <c r="G86" s="20">
        <v>120300</v>
      </c>
      <c r="H86" s="20">
        <v>0</v>
      </c>
      <c r="I86" s="20">
        <v>0</v>
      </c>
      <c r="J86" s="20">
        <v>0</v>
      </c>
      <c r="K86" s="20">
        <v>0</v>
      </c>
      <c r="L86" s="20">
        <v>0</v>
      </c>
      <c r="M86" s="20">
        <v>0</v>
      </c>
      <c r="N86" s="20">
        <v>120300</v>
      </c>
      <c r="O86" s="20">
        <v>120300</v>
      </c>
      <c r="P86" s="20">
        <f>120300-96594+185094</f>
        <v>208800</v>
      </c>
      <c r="Q86" s="20">
        <v>0</v>
      </c>
      <c r="R86" s="16">
        <f t="shared" si="14"/>
        <v>690000</v>
      </c>
      <c r="S86" s="16">
        <f t="shared" si="15"/>
        <v>0</v>
      </c>
      <c r="Z86" s="23">
        <f t="shared" si="16"/>
        <v>690000</v>
      </c>
      <c r="AA86" s="23">
        <f t="shared" si="17"/>
        <v>0</v>
      </c>
    </row>
    <row r="87" spans="1:27" hidden="1" x14ac:dyDescent="0.2">
      <c r="A87" s="17">
        <v>14</v>
      </c>
      <c r="B87" s="18" t="s">
        <v>101</v>
      </c>
      <c r="C87" s="17">
        <v>3291</v>
      </c>
      <c r="D87" s="48" t="str">
        <f>+D68</f>
        <v>Otros Arrendamientos</v>
      </c>
      <c r="E87" s="20">
        <f>+'[1]DESGLOSE PART  3291-714-JU'!E21</f>
        <v>50000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20">
        <v>50000</v>
      </c>
      <c r="M87" s="20">
        <v>0</v>
      </c>
      <c r="N87" s="20">
        <v>0</v>
      </c>
      <c r="O87" s="20">
        <v>0</v>
      </c>
      <c r="P87" s="20">
        <v>0</v>
      </c>
      <c r="Q87" s="20">
        <v>0</v>
      </c>
      <c r="R87" s="16">
        <f t="shared" si="14"/>
        <v>50000</v>
      </c>
      <c r="S87" s="16">
        <f t="shared" si="15"/>
        <v>0</v>
      </c>
      <c r="Z87" s="23">
        <f t="shared" si="16"/>
        <v>50000</v>
      </c>
      <c r="AA87" s="23">
        <f t="shared" si="17"/>
        <v>0</v>
      </c>
    </row>
    <row r="88" spans="1:27" ht="25.5" hidden="1" x14ac:dyDescent="0.2">
      <c r="A88" s="17">
        <v>14</v>
      </c>
      <c r="B88" s="18" t="s">
        <v>101</v>
      </c>
      <c r="C88" s="17">
        <v>3821</v>
      </c>
      <c r="D88" s="48" t="str">
        <f>+D83</f>
        <v>Gastos de Orden Social y Cultural</v>
      </c>
      <c r="E88" s="20">
        <f>+'[1]DESGLOSE PART  3821-714-JU'!E21</f>
        <v>150000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f>112350-54050-50000</f>
        <v>8300</v>
      </c>
      <c r="N88" s="20">
        <v>80700</v>
      </c>
      <c r="O88" s="20">
        <f>82650-21650</f>
        <v>61000</v>
      </c>
      <c r="P88" s="20">
        <v>0</v>
      </c>
      <c r="Q88" s="20">
        <v>0</v>
      </c>
      <c r="R88" s="16">
        <f t="shared" si="14"/>
        <v>150000</v>
      </c>
      <c r="S88" s="16">
        <f t="shared" si="15"/>
        <v>0</v>
      </c>
      <c r="Z88" s="23">
        <f t="shared" si="16"/>
        <v>150000</v>
      </c>
      <c r="AA88" s="23">
        <f t="shared" si="17"/>
        <v>0</v>
      </c>
    </row>
    <row r="89" spans="1:27" x14ac:dyDescent="0.2">
      <c r="A89" s="63" t="s">
        <v>154</v>
      </c>
      <c r="B89" s="64"/>
      <c r="C89" s="64"/>
      <c r="D89" s="65"/>
      <c r="E89" s="30">
        <f>SUM(E62:E88)</f>
        <v>9192018</v>
      </c>
      <c r="F89" s="30">
        <f t="shared" ref="F89:Q89" si="18">SUM(F62:F88)</f>
        <v>779675</v>
      </c>
      <c r="G89" s="30">
        <f t="shared" si="18"/>
        <v>196110</v>
      </c>
      <c r="H89" s="30">
        <f t="shared" si="18"/>
        <v>56210</v>
      </c>
      <c r="I89" s="30">
        <f t="shared" si="18"/>
        <v>1038239.9999999999</v>
      </c>
      <c r="J89" s="30">
        <f t="shared" si="18"/>
        <v>267418</v>
      </c>
      <c r="K89" s="30">
        <f t="shared" si="18"/>
        <v>219990</v>
      </c>
      <c r="L89" s="30">
        <f t="shared" si="18"/>
        <v>1642914.9999999998</v>
      </c>
      <c r="M89" s="30">
        <f t="shared" si="18"/>
        <v>322931</v>
      </c>
      <c r="N89" s="30">
        <f t="shared" si="18"/>
        <v>358936</v>
      </c>
      <c r="O89" s="30">
        <f t="shared" si="18"/>
        <v>3541204.0000000005</v>
      </c>
      <c r="P89" s="30">
        <f t="shared" si="18"/>
        <v>768389</v>
      </c>
      <c r="Q89" s="30">
        <f t="shared" si="18"/>
        <v>0</v>
      </c>
      <c r="Z89" s="23">
        <f t="shared" si="16"/>
        <v>9192018</v>
      </c>
      <c r="AA89" s="23">
        <f t="shared" si="17"/>
        <v>0</v>
      </c>
    </row>
    <row r="90" spans="1:27" x14ac:dyDescent="0.2">
      <c r="A90" s="29"/>
      <c r="B90" s="29"/>
      <c r="C90" s="29"/>
      <c r="D90" s="29"/>
      <c r="E90" s="50"/>
      <c r="F90" s="51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Z90" s="23">
        <f t="shared" si="16"/>
        <v>0</v>
      </c>
      <c r="AA90" s="23">
        <f t="shared" si="17"/>
        <v>0</v>
      </c>
    </row>
    <row r="91" spans="1:27" ht="12.75" hidden="1" customHeight="1" x14ac:dyDescent="0.2">
      <c r="A91" s="66" t="s">
        <v>155</v>
      </c>
      <c r="B91" s="67"/>
      <c r="C91" s="67"/>
      <c r="D91" s="67"/>
      <c r="E91" s="68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Z91" s="23">
        <f t="shared" si="16"/>
        <v>0</v>
      </c>
      <c r="AA91" s="23">
        <f t="shared" si="17"/>
        <v>0</v>
      </c>
    </row>
    <row r="92" spans="1:27" ht="25.5" hidden="1" x14ac:dyDescent="0.2">
      <c r="A92" s="17">
        <v>14</v>
      </c>
      <c r="B92" s="18" t="s">
        <v>101</v>
      </c>
      <c r="C92" s="17">
        <v>4411</v>
      </c>
      <c r="D92" s="48" t="s">
        <v>156</v>
      </c>
      <c r="E92" s="20">
        <f>SUM(F92:Q92)</f>
        <v>15000</v>
      </c>
      <c r="F92" s="20">
        <v>5000</v>
      </c>
      <c r="G92" s="20">
        <v>5000</v>
      </c>
      <c r="H92" s="20">
        <v>5000</v>
      </c>
      <c r="I92" s="20">
        <v>0</v>
      </c>
      <c r="J92" s="20">
        <v>0</v>
      </c>
      <c r="K92" s="20">
        <v>0</v>
      </c>
      <c r="L92" s="20">
        <v>0</v>
      </c>
      <c r="M92" s="20">
        <v>0</v>
      </c>
      <c r="N92" s="20">
        <v>0</v>
      </c>
      <c r="O92" s="20">
        <v>0</v>
      </c>
      <c r="P92" s="20">
        <v>0</v>
      </c>
      <c r="Q92" s="20">
        <v>0</v>
      </c>
      <c r="R92" s="4">
        <v>15000</v>
      </c>
      <c r="S92" s="4">
        <v>0</v>
      </c>
      <c r="Z92" s="23">
        <f t="shared" si="16"/>
        <v>15000</v>
      </c>
      <c r="AA92" s="23">
        <f t="shared" si="17"/>
        <v>0</v>
      </c>
    </row>
    <row r="93" spans="1:27" hidden="1" x14ac:dyDescent="0.2">
      <c r="A93" s="63" t="s">
        <v>157</v>
      </c>
      <c r="B93" s="64"/>
      <c r="C93" s="64"/>
      <c r="D93" s="65"/>
      <c r="E93" s="30">
        <f>+E92</f>
        <v>15000</v>
      </c>
      <c r="F93" s="30">
        <f t="shared" ref="F93:Q93" si="19">+F92</f>
        <v>5000</v>
      </c>
      <c r="G93" s="30">
        <f t="shared" si="19"/>
        <v>5000</v>
      </c>
      <c r="H93" s="30">
        <f t="shared" si="19"/>
        <v>5000</v>
      </c>
      <c r="I93" s="30">
        <f t="shared" si="19"/>
        <v>0</v>
      </c>
      <c r="J93" s="30">
        <f t="shared" si="19"/>
        <v>0</v>
      </c>
      <c r="K93" s="30">
        <f t="shared" si="19"/>
        <v>0</v>
      </c>
      <c r="L93" s="30">
        <f t="shared" si="19"/>
        <v>0</v>
      </c>
      <c r="M93" s="30">
        <f t="shared" si="19"/>
        <v>0</v>
      </c>
      <c r="N93" s="30">
        <f t="shared" si="19"/>
        <v>0</v>
      </c>
      <c r="O93" s="30">
        <f t="shared" si="19"/>
        <v>0</v>
      </c>
      <c r="P93" s="30">
        <f t="shared" si="19"/>
        <v>0</v>
      </c>
      <c r="Q93" s="30">
        <f t="shared" si="19"/>
        <v>0</v>
      </c>
      <c r="Z93" s="23">
        <f t="shared" si="16"/>
        <v>15000</v>
      </c>
      <c r="AA93" s="23">
        <f t="shared" si="17"/>
        <v>0</v>
      </c>
    </row>
    <row r="94" spans="1:27" hidden="1" x14ac:dyDescent="0.2">
      <c r="A94" s="32"/>
      <c r="B94" s="32"/>
      <c r="C94" s="32"/>
      <c r="D94" s="33"/>
      <c r="E94" s="34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Z94" s="23">
        <f t="shared" si="16"/>
        <v>0</v>
      </c>
      <c r="AA94" s="23">
        <f t="shared" si="17"/>
        <v>0</v>
      </c>
    </row>
    <row r="95" spans="1:27" hidden="1" x14ac:dyDescent="0.2">
      <c r="A95" s="66" t="s">
        <v>158</v>
      </c>
      <c r="B95" s="67"/>
      <c r="C95" s="67"/>
      <c r="D95" s="67"/>
      <c r="E95" s="68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Z95" s="23">
        <f t="shared" si="16"/>
        <v>0</v>
      </c>
      <c r="AA95" s="23">
        <f t="shared" si="17"/>
        <v>0</v>
      </c>
    </row>
    <row r="96" spans="1:27" ht="25.5" hidden="1" x14ac:dyDescent="0.2">
      <c r="A96" s="17">
        <v>14</v>
      </c>
      <c r="B96" s="18" t="s">
        <v>101</v>
      </c>
      <c r="C96" s="17" t="s">
        <v>159</v>
      </c>
      <c r="D96" s="48" t="s">
        <v>160</v>
      </c>
      <c r="E96" s="20">
        <f>+'[1]DESGLOSE PART  5121-714-JU'!E21</f>
        <v>29600</v>
      </c>
      <c r="F96" s="20">
        <v>0</v>
      </c>
      <c r="G96" s="20">
        <v>0</v>
      </c>
      <c r="H96" s="20">
        <v>0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0</v>
      </c>
      <c r="O96" s="20">
        <f>21650-14400</f>
        <v>7250</v>
      </c>
      <c r="P96" s="20">
        <v>22350</v>
      </c>
      <c r="Q96" s="20">
        <v>0</v>
      </c>
      <c r="R96" s="16">
        <f t="shared" ref="R96:R98" si="20">SUM(F96:Q96)</f>
        <v>29600</v>
      </c>
      <c r="S96" s="16">
        <f t="shared" ref="S96:S98" si="21">+R96-E96</f>
        <v>0</v>
      </c>
      <c r="Z96" s="23">
        <f t="shared" si="16"/>
        <v>29600</v>
      </c>
      <c r="AA96" s="23">
        <f t="shared" si="17"/>
        <v>0</v>
      </c>
    </row>
    <row r="97" spans="1:27" ht="38.25" hidden="1" x14ac:dyDescent="0.2">
      <c r="A97" s="17">
        <v>14</v>
      </c>
      <c r="B97" s="18" t="s">
        <v>101</v>
      </c>
      <c r="C97" s="17">
        <v>5151</v>
      </c>
      <c r="D97" s="48" t="s">
        <v>161</v>
      </c>
      <c r="E97" s="20">
        <f>+'[1]DESGLOSE PART 5151-714-JU'!E21</f>
        <v>45000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6100</v>
      </c>
      <c r="O97" s="20">
        <v>6900</v>
      </c>
      <c r="P97" s="20">
        <v>32000</v>
      </c>
      <c r="Q97" s="20">
        <v>0</v>
      </c>
      <c r="R97" s="16"/>
      <c r="S97" s="16"/>
      <c r="Z97" s="23">
        <f t="shared" si="16"/>
        <v>45000</v>
      </c>
      <c r="AA97" s="23">
        <f t="shared" si="17"/>
        <v>0</v>
      </c>
    </row>
    <row r="98" spans="1:27" ht="25.5" hidden="1" x14ac:dyDescent="0.2">
      <c r="A98" s="17">
        <v>14</v>
      </c>
      <c r="B98" s="18" t="s">
        <v>101</v>
      </c>
      <c r="C98" s="17">
        <v>5191</v>
      </c>
      <c r="D98" s="48" t="s">
        <v>162</v>
      </c>
      <c r="E98" s="20">
        <f>+'[1]DESGLOSE PART  5191-714-JU'!E21</f>
        <v>36000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0</v>
      </c>
      <c r="N98" s="20">
        <v>0</v>
      </c>
      <c r="O98" s="20">
        <v>0</v>
      </c>
      <c r="P98" s="20">
        <v>0</v>
      </c>
      <c r="Q98" s="20">
        <v>36000</v>
      </c>
      <c r="R98" s="16">
        <f t="shared" si="20"/>
        <v>36000</v>
      </c>
      <c r="S98" s="16">
        <f t="shared" si="21"/>
        <v>0</v>
      </c>
      <c r="Z98" s="23">
        <f t="shared" si="16"/>
        <v>36000</v>
      </c>
      <c r="AA98" s="23">
        <f t="shared" si="17"/>
        <v>0</v>
      </c>
    </row>
    <row r="99" spans="1:27" ht="25.5" hidden="1" x14ac:dyDescent="0.2">
      <c r="A99" s="17">
        <v>14</v>
      </c>
      <c r="B99" s="18" t="s">
        <v>101</v>
      </c>
      <c r="C99" s="17">
        <v>5671</v>
      </c>
      <c r="D99" s="48" t="s">
        <v>163</v>
      </c>
      <c r="E99" s="20">
        <f>+'[1]DESGLOSE PART 5671-714-JU'!E21</f>
        <v>20050</v>
      </c>
      <c r="F99" s="20"/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0">
        <v>0</v>
      </c>
      <c r="N99" s="20">
        <v>0</v>
      </c>
      <c r="O99" s="20">
        <v>0</v>
      </c>
      <c r="P99" s="20">
        <v>15550</v>
      </c>
      <c r="Q99" s="20">
        <v>4500</v>
      </c>
      <c r="R99" s="16"/>
      <c r="S99" s="16"/>
      <c r="Z99" s="23">
        <f t="shared" si="16"/>
        <v>20050</v>
      </c>
      <c r="AA99" s="23">
        <f t="shared" si="17"/>
        <v>0</v>
      </c>
    </row>
    <row r="100" spans="1:27" hidden="1" x14ac:dyDescent="0.2">
      <c r="A100" s="17">
        <v>14</v>
      </c>
      <c r="B100" s="18" t="s">
        <v>101</v>
      </c>
      <c r="C100" s="17">
        <v>5691</v>
      </c>
      <c r="D100" s="48" t="s">
        <v>164</v>
      </c>
      <c r="E100" s="20">
        <f>+'[1]DESGLOSE PART 5691-714-JU'!E21</f>
        <v>14400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>
        <v>14400</v>
      </c>
      <c r="P100" s="20">
        <v>0</v>
      </c>
      <c r="Q100" s="20">
        <v>0</v>
      </c>
      <c r="R100" s="16"/>
      <c r="S100" s="16"/>
      <c r="Z100" s="23">
        <f t="shared" si="16"/>
        <v>14400</v>
      </c>
      <c r="AA100" s="23">
        <f t="shared" si="17"/>
        <v>0</v>
      </c>
    </row>
    <row r="101" spans="1:27" hidden="1" x14ac:dyDescent="0.2">
      <c r="A101" s="63" t="s">
        <v>165</v>
      </c>
      <c r="B101" s="64"/>
      <c r="C101" s="64"/>
      <c r="D101" s="65"/>
      <c r="E101" s="30">
        <f>SUM(E96:E100)</f>
        <v>145050</v>
      </c>
      <c r="F101" s="30">
        <f t="shared" ref="F101:N101" si="22">SUM(F96:F98)</f>
        <v>0</v>
      </c>
      <c r="G101" s="30">
        <f t="shared" si="22"/>
        <v>0</v>
      </c>
      <c r="H101" s="30">
        <f t="shared" si="22"/>
        <v>0</v>
      </c>
      <c r="I101" s="30">
        <f t="shared" si="22"/>
        <v>0</v>
      </c>
      <c r="J101" s="30">
        <f t="shared" si="22"/>
        <v>0</v>
      </c>
      <c r="K101" s="30">
        <f t="shared" si="22"/>
        <v>0</v>
      </c>
      <c r="L101" s="30">
        <f t="shared" si="22"/>
        <v>0</v>
      </c>
      <c r="M101" s="30">
        <f t="shared" si="22"/>
        <v>0</v>
      </c>
      <c r="N101" s="30">
        <f t="shared" si="22"/>
        <v>6100</v>
      </c>
      <c r="O101" s="30">
        <f>SUM(O96:O100)</f>
        <v>28550</v>
      </c>
      <c r="P101" s="30">
        <f>SUM(P96:P100)</f>
        <v>69900</v>
      </c>
      <c r="Q101" s="30">
        <f>SUM(Q96:Q100)</f>
        <v>40500</v>
      </c>
      <c r="Z101" s="23">
        <f t="shared" si="16"/>
        <v>145050</v>
      </c>
      <c r="AA101" s="23">
        <f t="shared" si="17"/>
        <v>0</v>
      </c>
    </row>
    <row r="102" spans="1:27" hidden="1" x14ac:dyDescent="0.2">
      <c r="A102" s="32"/>
      <c r="B102" s="32"/>
      <c r="C102" s="32"/>
      <c r="D102" s="33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</row>
    <row r="103" spans="1:27" hidden="1" x14ac:dyDescent="0.2">
      <c r="A103" s="15"/>
      <c r="B103" s="15"/>
      <c r="C103" s="15"/>
      <c r="D103" s="15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</row>
    <row r="104" spans="1:27" hidden="1" x14ac:dyDescent="0.2">
      <c r="A104" s="63" t="s">
        <v>166</v>
      </c>
      <c r="B104" s="64"/>
      <c r="C104" s="64"/>
      <c r="D104" s="64"/>
      <c r="E104" s="30">
        <f>+E34+E59+E89+E101+E93</f>
        <v>34636178</v>
      </c>
      <c r="F104" s="30">
        <f t="shared" ref="F104:Q104" si="23">+F34+F59+F89+F101+F93</f>
        <v>3040522</v>
      </c>
      <c r="G104" s="30">
        <f t="shared" si="23"/>
        <v>2113531</v>
      </c>
      <c r="H104" s="30">
        <f t="shared" si="23"/>
        <v>2289857</v>
      </c>
      <c r="I104" s="30">
        <f t="shared" si="23"/>
        <v>3076474</v>
      </c>
      <c r="J104" s="30">
        <f t="shared" si="23"/>
        <v>2349139</v>
      </c>
      <c r="K104" s="30">
        <f t="shared" si="23"/>
        <v>2352237</v>
      </c>
      <c r="L104" s="30">
        <f t="shared" si="23"/>
        <v>3631441</v>
      </c>
      <c r="M104" s="30">
        <f t="shared" si="23"/>
        <v>2243732</v>
      </c>
      <c r="N104" s="30">
        <f t="shared" si="23"/>
        <v>2313347</v>
      </c>
      <c r="O104" s="30">
        <f t="shared" si="23"/>
        <v>5469956</v>
      </c>
      <c r="P104" s="30">
        <f t="shared" si="23"/>
        <v>5715442</v>
      </c>
      <c r="Q104" s="30">
        <f t="shared" si="23"/>
        <v>40500</v>
      </c>
    </row>
    <row r="105" spans="1:27" hidden="1" x14ac:dyDescent="0.2">
      <c r="A105" s="53"/>
      <c r="B105" s="53"/>
      <c r="C105" s="53"/>
      <c r="D105" s="53"/>
      <c r="E105" s="52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</row>
    <row r="106" spans="1:27" hidden="1" x14ac:dyDescent="0.2">
      <c r="A106" s="53"/>
      <c r="B106" s="53"/>
      <c r="C106" s="53"/>
      <c r="D106" s="53"/>
      <c r="E106" s="52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</row>
    <row r="107" spans="1:27" hidden="1" x14ac:dyDescent="0.2">
      <c r="A107" s="53"/>
      <c r="B107" s="53"/>
      <c r="C107" s="53"/>
      <c r="D107" s="53"/>
      <c r="E107" s="52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</row>
    <row r="108" spans="1:27" hidden="1" x14ac:dyDescent="0.2">
      <c r="A108" s="53"/>
      <c r="B108" s="53"/>
      <c r="C108" s="53"/>
      <c r="D108" s="53"/>
      <c r="E108" s="52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</row>
    <row r="109" spans="1:27" hidden="1" x14ac:dyDescent="0.2">
      <c r="A109" s="53"/>
      <c r="B109" s="53"/>
      <c r="C109" s="53"/>
      <c r="D109" s="53"/>
      <c r="E109" s="52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</row>
    <row r="110" spans="1:27" hidden="1" x14ac:dyDescent="0.2">
      <c r="A110" s="53"/>
      <c r="B110" s="53"/>
      <c r="C110" s="53"/>
      <c r="D110" s="53"/>
      <c r="E110" s="52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</row>
    <row r="111" spans="1:27" hidden="1" x14ac:dyDescent="0.2">
      <c r="A111" s="53"/>
      <c r="B111" s="53"/>
      <c r="C111" s="53"/>
      <c r="D111" s="53"/>
      <c r="E111" s="52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</row>
    <row r="112" spans="1:27" hidden="1" x14ac:dyDescent="0.2">
      <c r="A112" s="53"/>
      <c r="B112" s="53"/>
      <c r="C112" s="53"/>
      <c r="D112" s="53"/>
      <c r="E112" s="52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</row>
    <row r="113" spans="1:17" hidden="1" x14ac:dyDescent="0.2">
      <c r="A113" s="53"/>
      <c r="B113" s="53"/>
      <c r="C113" s="53"/>
      <c r="D113" s="53"/>
      <c r="E113" s="52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</row>
    <row r="114" spans="1:17" hidden="1" x14ac:dyDescent="0.2">
      <c r="A114" s="53"/>
      <c r="B114" s="53"/>
      <c r="C114" s="53"/>
      <c r="D114" s="53"/>
      <c r="E114" s="52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</row>
    <row r="115" spans="1:17" hidden="1" x14ac:dyDescent="0.2">
      <c r="A115" s="53"/>
      <c r="B115" s="53"/>
      <c r="C115" s="55" t="s">
        <v>167</v>
      </c>
      <c r="D115" s="53"/>
      <c r="E115" s="56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</row>
    <row r="116" spans="1:17" hidden="1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</row>
    <row r="117" spans="1:17" hidden="1" x14ac:dyDescent="0.2">
      <c r="A117" s="47"/>
      <c r="B117" s="47"/>
      <c r="C117" s="55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</row>
    <row r="118" spans="1:17" hidden="1" x14ac:dyDescent="0.2">
      <c r="A118" s="47"/>
      <c r="B118" s="47"/>
      <c r="C118" s="47"/>
      <c r="D118" s="47"/>
      <c r="E118" s="57"/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</row>
    <row r="119" spans="1:17" hidden="1" x14ac:dyDescent="0.2">
      <c r="A119" s="47"/>
      <c r="B119" s="47"/>
      <c r="C119" s="47"/>
      <c r="D119" s="47"/>
      <c r="E119" s="57"/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</row>
    <row r="120" spans="1:17" hidden="1" x14ac:dyDescent="0.2">
      <c r="A120" s="47"/>
      <c r="B120" s="47"/>
      <c r="C120" s="47"/>
      <c r="D120" s="47"/>
      <c r="E120" s="58"/>
      <c r="F120" s="59"/>
      <c r="G120" s="59"/>
      <c r="H120" s="59"/>
      <c r="I120" s="59"/>
      <c r="J120" s="59"/>
      <c r="K120" s="59"/>
      <c r="L120" s="59"/>
      <c r="M120" s="59"/>
      <c r="N120" s="59"/>
      <c r="O120" s="59"/>
      <c r="P120" s="59"/>
      <c r="Q120" s="59"/>
    </row>
    <row r="121" spans="1:17" x14ac:dyDescent="0.2">
      <c r="A121" s="47"/>
      <c r="B121" s="47"/>
      <c r="C121" s="47"/>
      <c r="D121" s="47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</row>
    <row r="122" spans="1:17" x14ac:dyDescent="0.2">
      <c r="A122" s="47"/>
      <c r="B122" s="47"/>
      <c r="C122" s="47"/>
      <c r="D122" s="47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</row>
    <row r="123" spans="1:17" x14ac:dyDescent="0.2">
      <c r="A123" s="47"/>
      <c r="B123" s="47"/>
      <c r="C123" s="47"/>
      <c r="D123" s="47"/>
      <c r="E123" s="57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</row>
    <row r="124" spans="1:17" x14ac:dyDescent="0.2">
      <c r="A124" s="47"/>
      <c r="B124" s="47"/>
      <c r="C124" s="47"/>
      <c r="D124" s="47"/>
      <c r="E124" s="57"/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</row>
    <row r="125" spans="1:17" x14ac:dyDescent="0.2">
      <c r="A125" s="47"/>
      <c r="B125" s="47"/>
      <c r="C125" s="47"/>
      <c r="D125" s="47"/>
      <c r="E125" s="57"/>
      <c r="F125" s="59"/>
      <c r="G125" s="59"/>
      <c r="H125" s="59"/>
      <c r="I125" s="59"/>
      <c r="J125" s="59"/>
      <c r="K125" s="59"/>
      <c r="L125" s="59"/>
      <c r="M125" s="59"/>
      <c r="N125" s="59"/>
      <c r="O125" s="59"/>
      <c r="P125" s="59"/>
      <c r="Q125" s="59"/>
    </row>
    <row r="126" spans="1:17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</row>
    <row r="127" spans="1:17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</row>
    <row r="128" spans="1:17" x14ac:dyDescent="0.2"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</row>
    <row r="130" spans="5:24" x14ac:dyDescent="0.2">
      <c r="E130" s="61"/>
      <c r="F130" s="61"/>
      <c r="G130" s="61"/>
      <c r="H130" s="61"/>
      <c r="I130" s="61"/>
      <c r="J130" s="61"/>
      <c r="K130" s="61"/>
      <c r="L130" s="61"/>
      <c r="M130" s="61"/>
      <c r="N130" s="61"/>
      <c r="O130" s="61"/>
      <c r="P130" s="61"/>
      <c r="Q130" s="61"/>
    </row>
    <row r="134" spans="5:24" x14ac:dyDescent="0.2">
      <c r="F134" s="62"/>
      <c r="G134" s="62"/>
      <c r="H134" s="62"/>
      <c r="I134" s="62"/>
      <c r="J134" s="62"/>
      <c r="K134" s="62"/>
      <c r="L134" s="62"/>
      <c r="M134" s="62"/>
      <c r="N134" s="62"/>
      <c r="O134" s="62"/>
      <c r="P134" s="62"/>
      <c r="Q134" s="62"/>
      <c r="R134" s="62"/>
      <c r="S134" s="62"/>
      <c r="T134" s="62"/>
      <c r="U134" s="62"/>
      <c r="V134" s="62"/>
      <c r="W134" s="62"/>
      <c r="X134" s="62"/>
    </row>
    <row r="137" spans="5:24" x14ac:dyDescent="0.2">
      <c r="F137" s="62"/>
      <c r="G137" s="62"/>
      <c r="H137" s="62"/>
      <c r="I137" s="62"/>
      <c r="J137" s="62"/>
      <c r="K137" s="62"/>
      <c r="L137" s="62"/>
      <c r="M137" s="62"/>
      <c r="N137" s="62"/>
      <c r="O137" s="62"/>
      <c r="P137" s="62"/>
      <c r="Q137" s="62"/>
    </row>
  </sheetData>
  <mergeCells count="22">
    <mergeCell ref="P3:Q3"/>
    <mergeCell ref="A6:C6"/>
    <mergeCell ref="D6:Q6"/>
    <mergeCell ref="A7:C7"/>
    <mergeCell ref="D7:Q7"/>
    <mergeCell ref="A104:D104"/>
    <mergeCell ref="F9:Q9"/>
    <mergeCell ref="A12:E12"/>
    <mergeCell ref="A34:D34"/>
    <mergeCell ref="A36:E36"/>
    <mergeCell ref="A59:D59"/>
    <mergeCell ref="A61:E61"/>
    <mergeCell ref="A9:A10"/>
    <mergeCell ref="B9:B10"/>
    <mergeCell ref="C9:C10"/>
    <mergeCell ref="D9:D10"/>
    <mergeCell ref="E9:E10"/>
    <mergeCell ref="A89:D89"/>
    <mergeCell ref="A91:E91"/>
    <mergeCell ref="A93:D93"/>
    <mergeCell ref="A95:E95"/>
    <mergeCell ref="A101:D101"/>
  </mergeCells>
  <printOptions horizontalCentered="1"/>
  <pageMargins left="0.39370078740157483" right="0.39370078740157483" top="0.39370078740157483" bottom="0.39370078740157483" header="0.19685039370078741" footer="0.31496062992125984"/>
  <pageSetup scale="53" fitToHeight="0" orientation="landscape" r:id="rId1"/>
  <headerFooter alignWithMargins="0">
    <oddFooter>&amp;C&amp;"Calibri,Normal"&amp;9&amp;P / &amp;N&amp;R&amp;"Calibri,Normal"&amp;9PP-FM-0U-02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PROY PART CAL GENERAL</vt:lpstr>
      <vt:lpstr>'PROY PART CAL GENERAL'!Área_de_impresión</vt:lpstr>
      <vt:lpstr>'PROY PART CAL GENERAL'!Títulos_a_imprimir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Icatlax</dc:creator>
  <cp:lastModifiedBy>Compras Icatlax</cp:lastModifiedBy>
  <dcterms:created xsi:type="dcterms:W3CDTF">2024-04-16T18:36:32Z</dcterms:created>
  <dcterms:modified xsi:type="dcterms:W3CDTF">2024-10-03T16:10:38Z</dcterms:modified>
</cp:coreProperties>
</file>